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GA Budgets\SGA 2017-2018\"/>
    </mc:Choice>
  </mc:AlternateContent>
  <xr:revisionPtr revIDLastSave="0" documentId="13_ncr:1_{1D7F6DE2-E45D-4061-9758-140BEA7073D8}" xr6:coauthVersionLast="32" xr6:coauthVersionMax="32" xr10:uidLastSave="{00000000-0000-0000-0000-000000000000}"/>
  <bookViews>
    <workbookView xWindow="0" yWindow="0" windowWidth="21600" windowHeight="9630" tabRatio="899" activeTab="10" xr2:uid="{00000000-000D-0000-FFFF-FFFF00000000}"/>
  </bookViews>
  <sheets>
    <sheet name="Overall" sheetId="184" r:id="rId1"/>
    <sheet name="Accounting" sheetId="263" r:id="rId2"/>
    <sheet name="AG" sheetId="8" r:id="rId3"/>
    <sheet name="Aikido" sheetId="265" r:id="rId4"/>
    <sheet name="ASME" sheetId="260" r:id="rId5"/>
    <sheet name="Aviation" sheetId="312" r:id="rId6"/>
    <sheet name="Berks Cares" sheetId="124" r:id="rId7"/>
    <sheet name="Bks Chemical Society" sheetId="195" r:id="rId8"/>
    <sheet name="Berks Democrats" sheetId="302" r:id="rId9"/>
    <sheet name="Berks Tech" sheetId="305" r:id="rId10"/>
    <sheet name="Berks Theatre" sheetId="310" r:id="rId11"/>
    <sheet name="Bio-BioChem" sheetId="268" r:id="rId12"/>
    <sheet name="Blue Wave" sheetId="307" r:id="rId13"/>
    <sheet name="BSU" sheetId="253" r:id="rId14"/>
    <sheet name="B&amp;W Society" sheetId="161" r:id="rId15"/>
    <sheet name="B.S.C.C" sheetId="182" r:id="rId16"/>
    <sheet name="CARP" sheetId="270" r:id="rId17"/>
    <sheet name="Chamber Choir" sheetId="180" r:id="rId18"/>
    <sheet name="Chinese" sheetId="313" r:id="rId19"/>
    <sheet name="CSF" sheetId="2" r:id="rId20"/>
    <sheet name="College Republicans" sheetId="236" r:id="rId21"/>
    <sheet name="Comm. Nation" sheetId="296" r:id="rId22"/>
    <sheet name="Criminal Justice" sheetId="299" r:id="rId23"/>
    <sheet name="DECA" sheetId="16" r:id="rId24"/>
    <sheet name="Entrepreneur" sheetId="242" r:id="rId25"/>
    <sheet name="FFA" sheetId="304" r:id="rId26"/>
    <sheet name="HONORS" sheetId="13" r:id="rId27"/>
    <sheet name="HRS" sheetId="14" r:id="rId28"/>
    <sheet name="INK" sheetId="198" r:id="rId29"/>
    <sheet name="Kines" sheetId="226" r:id="rId30"/>
    <sheet name="LUC" sheetId="179" r:id="rId31"/>
    <sheet name="MSA" sheetId="117" r:id="rId32"/>
    <sheet name="Outdoors" sheetId="278" r:id="rId33"/>
    <sheet name="PSEA" sheetId="309" r:id="rId34"/>
    <sheet name="Pre-Med" sheetId="230" r:id="rId35"/>
    <sheet name="Punjabi Culture" sheetId="266" r:id="rId36"/>
    <sheet name="PRSSA" sheetId="243" r:id="rId37"/>
    <sheet name="Robotics" sheetId="148" r:id="rId38"/>
    <sheet name="SAE Aero" sheetId="212" r:id="rId39"/>
    <sheet name="SAE Baja" sheetId="276" r:id="rId40"/>
    <sheet name="SKI" sheetId="133" r:id="rId41"/>
    <sheet name="STEP TEAM" sheetId="28" r:id="rId42"/>
    <sheet name="SOTA" sheetId="81" r:id="rId43"/>
    <sheet name="SVC" sheetId="311" r:id="rId44"/>
    <sheet name="SWE" sheetId="191" r:id="rId45"/>
    <sheet name="Sustainability" sheetId="308" r:id="rId46"/>
    <sheet name="THON SGA" sheetId="298" r:id="rId47"/>
    <sheet name="Undistributed Fund" sheetId="281" r:id="rId48"/>
    <sheet name="VIP" sheetId="301" r:id="rId49"/>
    <sheet name="World Affairs" sheetId="293" r:id="rId50"/>
    <sheet name="YAMS" sheetId="306" r:id="rId51"/>
    <sheet name="Zumba Lions" sheetId="223" r:id="rId52"/>
  </sheets>
  <definedNames>
    <definedName name="_xlnm.Print_Area" localSheetId="2">AG!$A$1:$G$15</definedName>
    <definedName name="_xlnm.Print_Area" localSheetId="15">B.S.C.C!$A$1:$G$26</definedName>
    <definedName name="_xlnm.Print_Area" localSheetId="22">'Criminal Justice'!$A$1:$G$28</definedName>
    <definedName name="_xlnm.Print_Area" localSheetId="19">CSF!$A$1:$G$36</definedName>
    <definedName name="_xlnm.Print_Area" localSheetId="23">DECA!$A$1:$G$34</definedName>
    <definedName name="_xlnm.Print_Area" localSheetId="26">HONORS!$A$1:$G$31</definedName>
    <definedName name="_xlnm.Print_Area" localSheetId="27">HRS!$A$1:$G$28</definedName>
    <definedName name="_xlnm.Print_Area" localSheetId="30">LUC!$I$1:$O$31</definedName>
    <definedName name="_xlnm.Print_Area" localSheetId="42">SOTA!$A$1:$G$33</definedName>
    <definedName name="_xlnm.Print_Area" localSheetId="41">'STEP TEAM'!$A$1:$G$29</definedName>
    <definedName name="_xlnm.Print_Area" localSheetId="46">'THON SGA'!$A$1:$G$44</definedName>
  </definedNames>
  <calcPr calcId="179017"/>
</workbook>
</file>

<file path=xl/calcChain.xml><?xml version="1.0" encoding="utf-8"?>
<calcChain xmlns="http://schemas.openxmlformats.org/spreadsheetml/2006/main">
  <c r="N13" i="312" l="1"/>
  <c r="N20" i="260" l="1"/>
  <c r="N25" i="260"/>
  <c r="N22" i="266"/>
  <c r="N21" i="266" l="1"/>
  <c r="N9" i="191" l="1"/>
  <c r="N17" i="253" l="1"/>
  <c r="G36" i="260"/>
  <c r="H37" i="260"/>
  <c r="L35" i="306"/>
  <c r="K35" i="306"/>
  <c r="N11" i="305" l="1"/>
  <c r="C31" i="308" l="1"/>
  <c r="C30" i="308"/>
  <c r="N10" i="305" l="1"/>
  <c r="N9" i="243"/>
  <c r="N9" i="117" l="1"/>
  <c r="N14" i="179"/>
  <c r="N13" i="179"/>
  <c r="N9" i="313" l="1"/>
  <c r="O9" i="313" l="1"/>
  <c r="O10" i="313" s="1"/>
  <c r="O11" i="313" s="1"/>
  <c r="O12" i="313" s="1"/>
  <c r="O13" i="313" s="1"/>
  <c r="O14" i="313" s="1"/>
  <c r="O15" i="313" s="1"/>
  <c r="O16" i="313" s="1"/>
  <c r="O17" i="313" s="1"/>
  <c r="O18" i="313" s="1"/>
  <c r="O19" i="313" s="1"/>
  <c r="O20" i="313" s="1"/>
  <c r="O21" i="313" s="1"/>
  <c r="O22" i="313" s="1"/>
  <c r="O23" i="313" s="1"/>
  <c r="O24" i="313" s="1"/>
  <c r="O25" i="313" s="1"/>
  <c r="O26" i="313" s="1"/>
  <c r="O27" i="313" s="1"/>
  <c r="O28" i="313" s="1"/>
  <c r="O29" i="313" s="1"/>
  <c r="O30" i="313" s="1"/>
  <c r="O32" i="313" s="1"/>
  <c r="G8" i="313"/>
  <c r="G9" i="313" s="1"/>
  <c r="G10" i="313" s="1"/>
  <c r="G11" i="313" s="1"/>
  <c r="G12" i="313" s="1"/>
  <c r="G13" i="313" s="1"/>
  <c r="G14" i="313" s="1"/>
  <c r="G15" i="313" s="1"/>
  <c r="G16" i="313" s="1"/>
  <c r="G17" i="313" s="1"/>
  <c r="G18" i="313" s="1"/>
  <c r="G19" i="313" s="1"/>
  <c r="G20" i="313" s="1"/>
  <c r="G21" i="313" s="1"/>
  <c r="G22" i="313" s="1"/>
  <c r="G23" i="313" s="1"/>
  <c r="G24" i="313" s="1"/>
  <c r="G25" i="313" s="1"/>
  <c r="G26" i="313" s="1"/>
  <c r="G27" i="313" s="1"/>
  <c r="G28" i="313" s="1"/>
  <c r="G29" i="313" s="1"/>
  <c r="G30" i="313" s="1"/>
  <c r="G32" i="313" s="1"/>
  <c r="N11" i="312" l="1"/>
  <c r="N12" i="308" l="1"/>
  <c r="N9" i="16" l="1"/>
  <c r="N14" i="253"/>
  <c r="N12" i="263"/>
  <c r="D43" i="184" l="1"/>
  <c r="D31" i="184"/>
  <c r="D6" i="184"/>
  <c r="D8" i="184"/>
  <c r="O9" i="312" l="1"/>
  <c r="O10" i="312" s="1"/>
  <c r="O11" i="312" s="1"/>
  <c r="O12" i="312" s="1"/>
  <c r="O13" i="312" s="1"/>
  <c r="O15" i="312" s="1"/>
  <c r="E6" i="184" s="1"/>
  <c r="G8" i="312"/>
  <c r="G9" i="312" s="1"/>
  <c r="G10" i="312" s="1"/>
  <c r="G11" i="312" s="1"/>
  <c r="G12" i="312" s="1"/>
  <c r="G13" i="312" s="1"/>
  <c r="G15" i="312" s="1"/>
  <c r="N12" i="253" l="1"/>
  <c r="N14" i="124" l="1"/>
  <c r="F11" i="243" l="1"/>
  <c r="N13" i="124" l="1"/>
  <c r="N10" i="180" l="1"/>
  <c r="N11" i="198" l="1"/>
  <c r="N11" i="2" l="1"/>
  <c r="N11" i="124" l="1"/>
  <c r="N11" i="253" l="1"/>
  <c r="N11" i="263" l="1"/>
  <c r="N12" i="198" l="1"/>
  <c r="N9" i="236" l="1"/>
  <c r="N9" i="263" l="1"/>
  <c r="N10" i="124"/>
  <c r="N10" i="311" l="1"/>
  <c r="N9" i="161" l="1"/>
  <c r="D11" i="184" l="1"/>
  <c r="D49" i="184"/>
  <c r="F16" i="260" l="1"/>
  <c r="F11" i="236" l="1"/>
  <c r="F13" i="2" l="1"/>
  <c r="F15" i="179"/>
  <c r="G9" i="311" l="1"/>
  <c r="G10" i="311" s="1"/>
  <c r="G11" i="311" s="1"/>
  <c r="G12" i="311" s="1"/>
  <c r="G13" i="311" s="1"/>
  <c r="G14" i="311" s="1"/>
  <c r="G15" i="311" s="1"/>
  <c r="G16" i="311" s="1"/>
  <c r="G17" i="311" s="1"/>
  <c r="G18" i="311" s="1"/>
  <c r="G19" i="311" s="1"/>
  <c r="G20" i="311" s="1"/>
  <c r="G21" i="311" s="1"/>
  <c r="G22" i="311" s="1"/>
  <c r="G23" i="311" s="1"/>
  <c r="G24" i="311" s="1"/>
  <c r="G26" i="311" s="1"/>
  <c r="O9" i="311"/>
  <c r="O10" i="311" s="1"/>
  <c r="O11" i="311" s="1"/>
  <c r="O12" i="311" s="1"/>
  <c r="O13" i="311" s="1"/>
  <c r="O14" i="311" s="1"/>
  <c r="O15" i="311" s="1"/>
  <c r="O16" i="311" s="1"/>
  <c r="O17" i="311" s="1"/>
  <c r="O18" i="311" s="1"/>
  <c r="O19" i="311" s="1"/>
  <c r="O20" i="311" s="1"/>
  <c r="O21" i="311" s="1"/>
  <c r="O22" i="311" s="1"/>
  <c r="O23" i="311" s="1"/>
  <c r="O24" i="311" s="1"/>
  <c r="O26" i="311" s="1"/>
  <c r="E43" i="184" s="1"/>
  <c r="F10" i="293" l="1"/>
  <c r="F9" i="28" l="1"/>
  <c r="F14" i="179" l="1"/>
  <c r="F10" i="236" l="1"/>
  <c r="G9" i="179" l="1"/>
  <c r="G10" i="179"/>
  <c r="G11" i="179" s="1"/>
  <c r="F10" i="124" l="1"/>
  <c r="F11" i="124"/>
  <c r="F9" i="236" l="1"/>
  <c r="O9" i="310"/>
  <c r="O10" i="310" s="1"/>
  <c r="O11" i="310" s="1"/>
  <c r="O12" i="310" s="1"/>
  <c r="O13" i="310" s="1"/>
  <c r="O14" i="310" s="1"/>
  <c r="O15" i="310" s="1"/>
  <c r="O16" i="310" s="1"/>
  <c r="O17" i="310" s="1"/>
  <c r="O18" i="310" s="1"/>
  <c r="O19" i="310" s="1"/>
  <c r="O20" i="310" s="1"/>
  <c r="O21" i="310" s="1"/>
  <c r="O22" i="310" s="1"/>
  <c r="O23" i="310" s="1"/>
  <c r="O24" i="310" s="1"/>
  <c r="O26" i="310" s="1"/>
  <c r="E11" i="184" s="1"/>
  <c r="G9" i="310"/>
  <c r="G10" i="310" s="1"/>
  <c r="G11" i="310" s="1"/>
  <c r="G12" i="310" s="1"/>
  <c r="G13" i="310" s="1"/>
  <c r="G14" i="310" s="1"/>
  <c r="G15" i="310" s="1"/>
  <c r="G16" i="310" s="1"/>
  <c r="G17" i="310" s="1"/>
  <c r="G18" i="310" s="1"/>
  <c r="G19" i="310" s="1"/>
  <c r="G20" i="310" s="1"/>
  <c r="G21" i="310" s="1"/>
  <c r="G22" i="310" s="1"/>
  <c r="G23" i="310" s="1"/>
  <c r="G24" i="310" s="1"/>
  <c r="G26" i="310" s="1"/>
  <c r="F13" i="266"/>
  <c r="F9" i="293" l="1"/>
  <c r="G12" i="179" l="1"/>
  <c r="G13" i="179" s="1"/>
  <c r="G14" i="179" s="1"/>
  <c r="G15" i="179" s="1"/>
  <c r="G16" i="179" s="1"/>
  <c r="G17" i="179" s="1"/>
  <c r="G18" i="179" s="1"/>
  <c r="G19" i="179" s="1"/>
  <c r="G20" i="179" s="1"/>
  <c r="G21" i="179" s="1"/>
  <c r="G22" i="179" s="1"/>
  <c r="G23" i="179" s="1"/>
  <c r="G24" i="179" s="1"/>
  <c r="G25" i="179" s="1"/>
  <c r="G26" i="179" s="1"/>
  <c r="G27" i="179" s="1"/>
  <c r="G28" i="179" s="1"/>
  <c r="G29" i="179" s="1"/>
  <c r="F9" i="124" l="1"/>
  <c r="F10" i="2"/>
  <c r="B49" i="184" l="1"/>
  <c r="B5" i="184" l="1"/>
  <c r="B7" i="184"/>
  <c r="B44" i="184" l="1"/>
  <c r="B31" i="184"/>
  <c r="E47" i="184"/>
  <c r="D47" i="184"/>
  <c r="O9" i="299"/>
  <c r="O10" i="299" s="1"/>
  <c r="O11" i="299" s="1"/>
  <c r="O12" i="299" s="1"/>
  <c r="O13" i="299" s="1"/>
  <c r="O14" i="299" s="1"/>
  <c r="O15" i="299" s="1"/>
  <c r="O16" i="299" s="1"/>
  <c r="O17" i="299" s="1"/>
  <c r="O18" i="299" s="1"/>
  <c r="O19" i="299" s="1"/>
  <c r="O20" i="299" s="1"/>
  <c r="O21" i="299" s="1"/>
  <c r="O22" i="299" s="1"/>
  <c r="O23" i="299" s="1"/>
  <c r="O24" i="299" s="1"/>
  <c r="O25" i="299" s="1"/>
  <c r="O26" i="299" s="1"/>
  <c r="D21" i="184"/>
  <c r="O9" i="309" l="1"/>
  <c r="G9" i="309"/>
  <c r="G10" i="309" s="1"/>
  <c r="G11" i="309" s="1"/>
  <c r="G12" i="309" s="1"/>
  <c r="G13" i="309" s="1"/>
  <c r="G14" i="309" s="1"/>
  <c r="G15" i="309" s="1"/>
  <c r="G16" i="309" s="1"/>
  <c r="G17" i="309" s="1"/>
  <c r="G18" i="309" s="1"/>
  <c r="G19" i="309" s="1"/>
  <c r="G20" i="309" s="1"/>
  <c r="G21" i="309" s="1"/>
  <c r="G22" i="309" s="1"/>
  <c r="G23" i="309" s="1"/>
  <c r="G24" i="309" s="1"/>
  <c r="G25" i="309" s="1"/>
  <c r="G26" i="309" s="1"/>
  <c r="G27" i="309" s="1"/>
  <c r="G28" i="309" s="1"/>
  <c r="G30" i="309" s="1"/>
  <c r="C31" i="184" s="1"/>
  <c r="O10" i="309" l="1"/>
  <c r="O11" i="309" s="1"/>
  <c r="O12" i="309" s="1"/>
  <c r="O13" i="309" s="1"/>
  <c r="O14" i="309" s="1"/>
  <c r="O15" i="309" s="1"/>
  <c r="O16" i="309" s="1"/>
  <c r="O17" i="309" s="1"/>
  <c r="O18" i="309" s="1"/>
  <c r="O19" i="309" s="1"/>
  <c r="O20" i="309" s="1"/>
  <c r="O21" i="309" s="1"/>
  <c r="O22" i="309" s="1"/>
  <c r="O23" i="309" s="1"/>
  <c r="O24" i="309" s="1"/>
  <c r="O25" i="309" s="1"/>
  <c r="O26" i="309" s="1"/>
  <c r="O27" i="309" s="1"/>
  <c r="O28" i="309" s="1"/>
  <c r="O30" i="309" s="1"/>
  <c r="E31" i="184" s="1"/>
  <c r="G9" i="308"/>
  <c r="G10" i="308" s="1"/>
  <c r="G11" i="308" s="1"/>
  <c r="G12" i="308" s="1"/>
  <c r="G13" i="308" s="1"/>
  <c r="G14" i="308" s="1"/>
  <c r="G15" i="308" s="1"/>
  <c r="G16" i="308" s="1"/>
  <c r="G17" i="308" s="1"/>
  <c r="G18" i="308" s="1"/>
  <c r="G19" i="308" s="1"/>
  <c r="G20" i="308" s="1"/>
  <c r="G21" i="308" s="1"/>
  <c r="G22" i="308" s="1"/>
  <c r="G23" i="308" s="1"/>
  <c r="G24" i="308" s="1"/>
  <c r="G26" i="308" s="1"/>
  <c r="C44" i="184" s="1"/>
  <c r="O8" i="307"/>
  <c r="O9" i="307" s="1"/>
  <c r="O10" i="307" s="1"/>
  <c r="O11" i="307" s="1"/>
  <c r="O12" i="307" s="1"/>
  <c r="O13" i="307" s="1"/>
  <c r="O14" i="307" s="1"/>
  <c r="O15" i="307" s="1"/>
  <c r="O16" i="307" s="1"/>
  <c r="O17" i="307" s="1"/>
  <c r="O18" i="307" s="1"/>
  <c r="O19" i="307" s="1"/>
  <c r="O20" i="307" s="1"/>
  <c r="O21" i="307" s="1"/>
  <c r="O22" i="307" s="1"/>
  <c r="O23" i="307" s="1"/>
  <c r="O24" i="307" s="1"/>
  <c r="O26" i="307" s="1"/>
  <c r="G8" i="307"/>
  <c r="G9" i="307" s="1"/>
  <c r="G10" i="307" s="1"/>
  <c r="G11" i="307" s="1"/>
  <c r="G12" i="307" s="1"/>
  <c r="G13" i="307" s="1"/>
  <c r="G14" i="307" s="1"/>
  <c r="G15" i="307" s="1"/>
  <c r="G16" i="307" s="1"/>
  <c r="G17" i="307" s="1"/>
  <c r="G18" i="307" s="1"/>
  <c r="G19" i="307" s="1"/>
  <c r="G20" i="307" s="1"/>
  <c r="G21" i="307" s="1"/>
  <c r="G22" i="307" s="1"/>
  <c r="G23" i="307" s="1"/>
  <c r="G24" i="307" s="1"/>
  <c r="G26" i="307" s="1"/>
  <c r="O9" i="308" l="1"/>
  <c r="O10" i="308" s="1"/>
  <c r="O11" i="308" s="1"/>
  <c r="O12" i="308" s="1"/>
  <c r="O13" i="308" s="1"/>
  <c r="O14" i="308" s="1"/>
  <c r="O15" i="308" s="1"/>
  <c r="O16" i="308" s="1"/>
  <c r="O17" i="308" s="1"/>
  <c r="O18" i="308" s="1"/>
  <c r="O19" i="308" s="1"/>
  <c r="O20" i="308" s="1"/>
  <c r="O21" i="308" s="1"/>
  <c r="O22" i="308" s="1"/>
  <c r="O23" i="308" s="1"/>
  <c r="O24" i="308" s="1"/>
  <c r="O26" i="308" s="1"/>
  <c r="E44" i="184" s="1"/>
  <c r="D44" i="184"/>
  <c r="G9" i="306"/>
  <c r="G10" i="306" s="1"/>
  <c r="G11" i="306" s="1"/>
  <c r="G12" i="306" s="1"/>
  <c r="G13" i="306" s="1"/>
  <c r="G14" i="306" s="1"/>
  <c r="G15" i="306" s="1"/>
  <c r="G16" i="306" s="1"/>
  <c r="G17" i="306" s="1"/>
  <c r="G18" i="306" s="1"/>
  <c r="G19" i="306" s="1"/>
  <c r="G20" i="306" s="1"/>
  <c r="G21" i="306" s="1"/>
  <c r="G22" i="306" s="1"/>
  <c r="G23" i="306" s="1"/>
  <c r="G24" i="306" s="1"/>
  <c r="G25" i="306" s="1"/>
  <c r="G26" i="306" s="1"/>
  <c r="G27" i="306" s="1"/>
  <c r="O9" i="306"/>
  <c r="O10" i="306" s="1"/>
  <c r="O11" i="306" s="1"/>
  <c r="O12" i="306" s="1"/>
  <c r="O13" i="306" s="1"/>
  <c r="O14" i="306" s="1"/>
  <c r="O15" i="306" s="1"/>
  <c r="O16" i="306" s="1"/>
  <c r="O17" i="306" s="1"/>
  <c r="O18" i="306" s="1"/>
  <c r="O19" i="306" s="1"/>
  <c r="O20" i="306" s="1"/>
  <c r="O21" i="306" s="1"/>
  <c r="O22" i="306" s="1"/>
  <c r="O23" i="306" s="1"/>
  <c r="O24" i="306" s="1"/>
  <c r="O25" i="306" s="1"/>
  <c r="O26" i="306" s="1"/>
  <c r="O27" i="306" s="1"/>
  <c r="G8" i="305"/>
  <c r="O8" i="304"/>
  <c r="O9" i="304" s="1"/>
  <c r="O10" i="304" s="1"/>
  <c r="O11" i="304" s="1"/>
  <c r="O12" i="304" s="1"/>
  <c r="O13" i="304" s="1"/>
  <c r="O14" i="304" s="1"/>
  <c r="O15" i="304" s="1"/>
  <c r="O16" i="304" s="1"/>
  <c r="O17" i="304" s="1"/>
  <c r="O18" i="304" s="1"/>
  <c r="O19" i="304" s="1"/>
  <c r="O20" i="304" s="1"/>
  <c r="O21" i="304" s="1"/>
  <c r="O23" i="304" s="1"/>
  <c r="G8" i="304"/>
  <c r="G9" i="304" s="1"/>
  <c r="G10" i="304" s="1"/>
  <c r="G11" i="304" s="1"/>
  <c r="G12" i="304" s="1"/>
  <c r="G13" i="304" s="1"/>
  <c r="G14" i="304" s="1"/>
  <c r="G15" i="304" s="1"/>
  <c r="G16" i="304" s="1"/>
  <c r="G17" i="304" s="1"/>
  <c r="G18" i="304" s="1"/>
  <c r="G19" i="304" s="1"/>
  <c r="G20" i="304" s="1"/>
  <c r="G21" i="304" s="1"/>
  <c r="G23" i="304" s="1"/>
  <c r="G9" i="305" l="1"/>
  <c r="G10" i="305" s="1"/>
  <c r="G11" i="305" s="1"/>
  <c r="G12" i="305" s="1"/>
  <c r="G13" i="305" s="1"/>
  <c r="G14" i="305" s="1"/>
  <c r="G15" i="305" s="1"/>
  <c r="G16" i="305" s="1"/>
  <c r="G17" i="305" s="1"/>
  <c r="G18" i="305" s="1"/>
  <c r="G19" i="305" s="1"/>
  <c r="G20" i="305" s="1"/>
  <c r="G21" i="305" s="1"/>
  <c r="G22" i="305" s="1"/>
  <c r="G23" i="305" s="1"/>
  <c r="G24" i="305" s="1"/>
  <c r="G25" i="305" s="1"/>
  <c r="G26" i="305" s="1"/>
  <c r="G27" i="305" s="1"/>
  <c r="G28" i="305" s="1"/>
  <c r="G30" i="305" s="1"/>
  <c r="C40" i="184" s="1"/>
  <c r="B40" i="184"/>
  <c r="O29" i="306"/>
  <c r="E49" i="184" s="1"/>
  <c r="G29" i="306"/>
  <c r="C49" i="184" s="1"/>
  <c r="O9" i="305"/>
  <c r="O10" i="305" s="1"/>
  <c r="O11" i="305" s="1"/>
  <c r="O12" i="305" s="1"/>
  <c r="O13" i="305" s="1"/>
  <c r="O14" i="305" s="1"/>
  <c r="O15" i="305" s="1"/>
  <c r="O16" i="305" s="1"/>
  <c r="O17" i="305" s="1"/>
  <c r="O18" i="305" s="1"/>
  <c r="O19" i="305" s="1"/>
  <c r="O20" i="305" s="1"/>
  <c r="O21" i="305" s="1"/>
  <c r="O22" i="305" s="1"/>
  <c r="O23" i="305" s="1"/>
  <c r="O24" i="305" s="1"/>
  <c r="O25" i="305" s="1"/>
  <c r="O26" i="305" s="1"/>
  <c r="O27" i="305" s="1"/>
  <c r="O28" i="305" s="1"/>
  <c r="O30" i="305" s="1"/>
  <c r="E40" i="184" s="1"/>
  <c r="D40" i="184"/>
  <c r="O8" i="302"/>
  <c r="D9" i="184" s="1"/>
  <c r="G8" i="302"/>
  <c r="B9" i="184" s="1"/>
  <c r="G9" i="302" l="1"/>
  <c r="G10" i="302" s="1"/>
  <c r="G11" i="302" s="1"/>
  <c r="G12" i="302" s="1"/>
  <c r="G13" i="302" s="1"/>
  <c r="G14" i="302" s="1"/>
  <c r="G15" i="302" s="1"/>
  <c r="G16" i="302" s="1"/>
  <c r="G17" i="302" s="1"/>
  <c r="G18" i="302" s="1"/>
  <c r="G19" i="302" s="1"/>
  <c r="G20" i="302" s="1"/>
  <c r="G21" i="302" s="1"/>
  <c r="G22" i="302" s="1"/>
  <c r="G23" i="302" s="1"/>
  <c r="G24" i="302" s="1"/>
  <c r="G26" i="302" s="1"/>
  <c r="C9" i="184" s="1"/>
  <c r="O9" i="302"/>
  <c r="O10" i="302" s="1"/>
  <c r="O11" i="302" s="1"/>
  <c r="O12" i="302" s="1"/>
  <c r="O13" i="302" s="1"/>
  <c r="O14" i="302" s="1"/>
  <c r="O15" i="302" s="1"/>
  <c r="O16" i="302" s="1"/>
  <c r="O17" i="302" s="1"/>
  <c r="O18" i="302" s="1"/>
  <c r="O19" i="302" s="1"/>
  <c r="O20" i="302" s="1"/>
  <c r="O21" i="302" s="1"/>
  <c r="O22" i="302" s="1"/>
  <c r="O23" i="302" s="1"/>
  <c r="O24" i="302" s="1"/>
  <c r="O26" i="302" s="1"/>
  <c r="E9" i="184" s="1"/>
  <c r="O9" i="301"/>
  <c r="O10" i="301" s="1"/>
  <c r="O11" i="301" s="1"/>
  <c r="O12" i="301" s="1"/>
  <c r="O13" i="301" s="1"/>
  <c r="O14" i="301" s="1"/>
  <c r="O15" i="301" s="1"/>
  <c r="O16" i="301" s="1"/>
  <c r="O17" i="301" s="1"/>
  <c r="O18" i="301" s="1"/>
  <c r="O19" i="301" s="1"/>
  <c r="O20" i="301" s="1"/>
  <c r="O21" i="301" s="1"/>
  <c r="O22" i="301" s="1"/>
  <c r="O23" i="301" s="1"/>
  <c r="O24" i="301" s="1"/>
  <c r="O25" i="301" s="1"/>
  <c r="O26" i="301" s="1"/>
  <c r="O27" i="301" s="1"/>
  <c r="O28" i="301" s="1"/>
  <c r="O30" i="301" s="1"/>
  <c r="G8" i="301"/>
  <c r="G9" i="301" s="1"/>
  <c r="G10" i="301" l="1"/>
  <c r="G11" i="301" s="1"/>
  <c r="G12" i="301" s="1"/>
  <c r="G13" i="301" s="1"/>
  <c r="G14" i="301" s="1"/>
  <c r="G15" i="301" s="1"/>
  <c r="G16" i="301" s="1"/>
  <c r="G17" i="301" s="1"/>
  <c r="G18" i="301" s="1"/>
  <c r="G19" i="301" s="1"/>
  <c r="G20" i="301" s="1"/>
  <c r="G21" i="301" s="1"/>
  <c r="G22" i="301" s="1"/>
  <c r="G23" i="301" s="1"/>
  <c r="G24" i="301" s="1"/>
  <c r="G25" i="301" s="1"/>
  <c r="G26" i="301" s="1"/>
  <c r="G27" i="301" s="1"/>
  <c r="G28" i="301" s="1"/>
  <c r="G30" i="301" s="1"/>
  <c r="C47" i="184" s="1"/>
  <c r="B47" i="184"/>
  <c r="G8" i="281"/>
  <c r="O8" i="281"/>
  <c r="O8" i="298"/>
  <c r="O8" i="81"/>
  <c r="G8" i="81"/>
  <c r="O8" i="28"/>
  <c r="O8" i="212"/>
  <c r="G8" i="212"/>
  <c r="O9" i="13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9" i="242"/>
  <c r="O10" i="242" s="1"/>
  <c r="O11" i="242" s="1"/>
  <c r="O12" i="242" s="1"/>
  <c r="O13" i="242" s="1"/>
  <c r="O14" i="242" s="1"/>
  <c r="O15" i="242" s="1"/>
  <c r="O16" i="242" s="1"/>
  <c r="O17" i="242" s="1"/>
  <c r="O18" i="242" s="1"/>
  <c r="O19" i="242" s="1"/>
  <c r="O20" i="242" s="1"/>
  <c r="O9" i="16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28" i="299" l="1"/>
  <c r="E21" i="184" s="1"/>
  <c r="B21" i="184"/>
  <c r="G8" i="180"/>
  <c r="B17" i="184" s="1"/>
  <c r="D5" i="184"/>
  <c r="O9" i="124"/>
  <c r="O10" i="124" s="1"/>
  <c r="O11" i="124" s="1"/>
  <c r="O12" i="124" s="1"/>
  <c r="O13" i="124" s="1"/>
  <c r="O14" i="124" s="1"/>
  <c r="O15" i="124" s="1"/>
  <c r="O16" i="124" s="1"/>
  <c r="O17" i="124" s="1"/>
  <c r="O18" i="124" s="1"/>
  <c r="O19" i="124" s="1"/>
  <c r="O20" i="124" s="1"/>
  <c r="O21" i="124" s="1"/>
  <c r="O22" i="124" s="1"/>
  <c r="O23" i="124" s="1"/>
  <c r="O24" i="124" s="1"/>
  <c r="O25" i="124" s="1"/>
  <c r="O26" i="124" s="1"/>
  <c r="O27" i="124" s="1"/>
  <c r="O28" i="124" s="1"/>
  <c r="O29" i="124" s="1"/>
  <c r="O30" i="124" s="1"/>
  <c r="O31" i="124" s="1"/>
  <c r="O33" i="124" s="1"/>
  <c r="E7" i="184" s="1"/>
  <c r="D46" i="184"/>
  <c r="D45" i="184"/>
  <c r="D42" i="184"/>
  <c r="D41" i="184"/>
  <c r="D38" i="184"/>
  <c r="B38" i="184"/>
  <c r="B37" i="184"/>
  <c r="D37" i="184"/>
  <c r="D35" i="184"/>
  <c r="D33" i="184"/>
  <c r="D27" i="184"/>
  <c r="D23" i="184"/>
  <c r="D22" i="184"/>
  <c r="D19" i="184"/>
  <c r="O9" i="298"/>
  <c r="O10" i="298" s="1"/>
  <c r="O11" i="298" s="1"/>
  <c r="O12" i="298" s="1"/>
  <c r="O13" i="298" s="1"/>
  <c r="O14" i="298" s="1"/>
  <c r="O15" i="298" s="1"/>
  <c r="O16" i="298" s="1"/>
  <c r="O17" i="298" s="1"/>
  <c r="O18" i="298" s="1"/>
  <c r="O19" i="298" s="1"/>
  <c r="O20" i="298" s="1"/>
  <c r="O21" i="298" s="1"/>
  <c r="O22" i="298" s="1"/>
  <c r="O23" i="298" s="1"/>
  <c r="O24" i="298" s="1"/>
  <c r="O25" i="298" s="1"/>
  <c r="O26" i="298" s="1"/>
  <c r="O27" i="298" s="1"/>
  <c r="O28" i="298" s="1"/>
  <c r="O29" i="298" s="1"/>
  <c r="O30" i="298" s="1"/>
  <c r="O31" i="298" s="1"/>
  <c r="O32" i="298" s="1"/>
  <c r="O33" i="298" s="1"/>
  <c r="O34" i="298" s="1"/>
  <c r="O35" i="298" s="1"/>
  <c r="O36" i="298" s="1"/>
  <c r="O37" i="298" s="1"/>
  <c r="O38" i="298" s="1"/>
  <c r="O39" i="298" s="1"/>
  <c r="O40" i="298" s="1"/>
  <c r="O41" i="298" s="1"/>
  <c r="O42" i="298" s="1"/>
  <c r="O44" i="298" s="1"/>
  <c r="E45" i="184" s="1"/>
  <c r="O9" i="81"/>
  <c r="O10" i="81" s="1"/>
  <c r="O11" i="81" s="1"/>
  <c r="O12" i="81" s="1"/>
  <c r="O13" i="81" s="1"/>
  <c r="O14" i="81" s="1"/>
  <c r="O15" i="81" s="1"/>
  <c r="O16" i="81" s="1"/>
  <c r="O17" i="81" s="1"/>
  <c r="O18" i="81" s="1"/>
  <c r="O19" i="81" s="1"/>
  <c r="O20" i="81" s="1"/>
  <c r="O21" i="81" s="1"/>
  <c r="O22" i="81" s="1"/>
  <c r="O23" i="81" s="1"/>
  <c r="O24" i="81" s="1"/>
  <c r="O25" i="81" s="1"/>
  <c r="O26" i="81" s="1"/>
  <c r="O27" i="81" s="1"/>
  <c r="O28" i="81" s="1"/>
  <c r="O29" i="81" s="1"/>
  <c r="O30" i="81" s="1"/>
  <c r="O31" i="81" s="1"/>
  <c r="O33" i="81" s="1"/>
  <c r="E42" i="184" s="1"/>
  <c r="O9" i="28"/>
  <c r="O10" i="28" s="1"/>
  <c r="O11" i="28" s="1"/>
  <c r="O12" i="28" s="1"/>
  <c r="O13" i="28" s="1"/>
  <c r="O14" i="28" s="1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9" i="28" s="1"/>
  <c r="E41" i="184" s="1"/>
  <c r="O9" i="191"/>
  <c r="O9" i="276"/>
  <c r="O10" i="276" s="1"/>
  <c r="O11" i="276" s="1"/>
  <c r="O12" i="276" s="1"/>
  <c r="O13" i="276" s="1"/>
  <c r="O14" i="276" s="1"/>
  <c r="O15" i="276" s="1"/>
  <c r="O16" i="276" s="1"/>
  <c r="O17" i="276" s="1"/>
  <c r="O18" i="276" s="1"/>
  <c r="O19" i="276" s="1"/>
  <c r="O20" i="276" s="1"/>
  <c r="O21" i="276" s="1"/>
  <c r="O22" i="276" s="1"/>
  <c r="O23" i="276" s="1"/>
  <c r="O24" i="276" s="1"/>
  <c r="O25" i="276" s="1"/>
  <c r="O26" i="276" s="1"/>
  <c r="O27" i="276" s="1"/>
  <c r="O28" i="276" s="1"/>
  <c r="O30" i="276" s="1"/>
  <c r="E38" i="184" s="1"/>
  <c r="O9" i="212"/>
  <c r="O10" i="212" s="1"/>
  <c r="O11" i="212" s="1"/>
  <c r="O12" i="212" s="1"/>
  <c r="O13" i="212" s="1"/>
  <c r="O14" i="212" s="1"/>
  <c r="O15" i="212" s="1"/>
  <c r="O16" i="212" s="1"/>
  <c r="O17" i="212" s="1"/>
  <c r="O18" i="212" s="1"/>
  <c r="O19" i="212" s="1"/>
  <c r="O20" i="212" s="1"/>
  <c r="O21" i="212" s="1"/>
  <c r="O22" i="212" s="1"/>
  <c r="O23" i="212" s="1"/>
  <c r="O24" i="212" s="1"/>
  <c r="O25" i="212" s="1"/>
  <c r="O26" i="212" s="1"/>
  <c r="O27" i="212" s="1"/>
  <c r="O29" i="212" s="1"/>
  <c r="E37" i="184" s="1"/>
  <c r="D36" i="184"/>
  <c r="O9" i="148"/>
  <c r="O10" i="148" s="1"/>
  <c r="O11" i="148" s="1"/>
  <c r="O12" i="148" s="1"/>
  <c r="O13" i="148" s="1"/>
  <c r="O14" i="148" s="1"/>
  <c r="O15" i="148" s="1"/>
  <c r="O16" i="148" s="1"/>
  <c r="O17" i="148" s="1"/>
  <c r="O18" i="148" s="1"/>
  <c r="O19" i="148" s="1"/>
  <c r="O20" i="148" s="1"/>
  <c r="O21" i="148" s="1"/>
  <c r="O22" i="148" s="1"/>
  <c r="O24" i="148" s="1"/>
  <c r="E35" i="184" s="1"/>
  <c r="O9" i="243"/>
  <c r="O10" i="243" s="1"/>
  <c r="O11" i="243" s="1"/>
  <c r="O12" i="243" s="1"/>
  <c r="O13" i="243" s="1"/>
  <c r="O14" i="243" s="1"/>
  <c r="O15" i="243" s="1"/>
  <c r="O16" i="243" s="1"/>
  <c r="O17" i="243" s="1"/>
  <c r="O18" i="243" s="1"/>
  <c r="O19" i="243" s="1"/>
  <c r="O20" i="243" s="1"/>
  <c r="O21" i="243" s="1"/>
  <c r="O22" i="243" s="1"/>
  <c r="O23" i="243" s="1"/>
  <c r="O24" i="243" s="1"/>
  <c r="O25" i="243" s="1"/>
  <c r="O27" i="243" s="1"/>
  <c r="E34" i="184" s="1"/>
  <c r="O9" i="266"/>
  <c r="O10" i="266" s="1"/>
  <c r="O11" i="266" s="1"/>
  <c r="O12" i="266" s="1"/>
  <c r="O13" i="266" s="1"/>
  <c r="O14" i="266" s="1"/>
  <c r="O15" i="266" s="1"/>
  <c r="O16" i="266" s="1"/>
  <c r="O17" i="266" s="1"/>
  <c r="O18" i="266" s="1"/>
  <c r="O19" i="266" s="1"/>
  <c r="O20" i="266" s="1"/>
  <c r="O21" i="266" s="1"/>
  <c r="O22" i="266" s="1"/>
  <c r="O23" i="266" s="1"/>
  <c r="O24" i="266" s="1"/>
  <c r="O25" i="266" s="1"/>
  <c r="O26" i="266" s="1"/>
  <c r="O28" i="266" s="1"/>
  <c r="E33" i="184" s="1"/>
  <c r="O8" i="230"/>
  <c r="O9" i="230" s="1"/>
  <c r="O10" i="230" s="1"/>
  <c r="O11" i="230" s="1"/>
  <c r="O12" i="230" s="1"/>
  <c r="O13" i="230" s="1"/>
  <c r="O14" i="230" s="1"/>
  <c r="O15" i="230" s="1"/>
  <c r="O16" i="230" s="1"/>
  <c r="O17" i="230" s="1"/>
  <c r="O18" i="230" s="1"/>
  <c r="O19" i="230" s="1"/>
  <c r="O20" i="230" s="1"/>
  <c r="O21" i="230" s="1"/>
  <c r="O22" i="230" s="1"/>
  <c r="O23" i="230" s="1"/>
  <c r="O24" i="230" s="1"/>
  <c r="O25" i="230" s="1"/>
  <c r="O26" i="230" s="1"/>
  <c r="O28" i="230" s="1"/>
  <c r="E32" i="184" s="1"/>
  <c r="O8" i="278"/>
  <c r="D30" i="184" s="1"/>
  <c r="O9" i="117"/>
  <c r="O10" i="117" s="1"/>
  <c r="O11" i="117" s="1"/>
  <c r="O12" i="117" s="1"/>
  <c r="O13" i="117" s="1"/>
  <c r="O14" i="117" s="1"/>
  <c r="O15" i="117" s="1"/>
  <c r="O16" i="117" s="1"/>
  <c r="O17" i="117" s="1"/>
  <c r="O18" i="117" s="1"/>
  <c r="O19" i="117" s="1"/>
  <c r="O20" i="117" s="1"/>
  <c r="O21" i="117" s="1"/>
  <c r="O22" i="117" s="1"/>
  <c r="O23" i="117" s="1"/>
  <c r="O24" i="117" s="1"/>
  <c r="O25" i="117" s="1"/>
  <c r="O26" i="117" s="1"/>
  <c r="O27" i="117" s="1"/>
  <c r="O28" i="117" s="1"/>
  <c r="O29" i="117" s="1"/>
  <c r="O30" i="117" s="1"/>
  <c r="O31" i="117" s="1"/>
  <c r="O32" i="117" s="1"/>
  <c r="O33" i="117" s="1"/>
  <c r="O34" i="117" s="1"/>
  <c r="O35" i="117" s="1"/>
  <c r="O37" i="117" s="1"/>
  <c r="E29" i="184" s="1"/>
  <c r="O9" i="179"/>
  <c r="O10" i="179" s="1"/>
  <c r="O11" i="179" s="1"/>
  <c r="O12" i="179" s="1"/>
  <c r="O13" i="179" s="1"/>
  <c r="O14" i="179" s="1"/>
  <c r="O15" i="179" s="1"/>
  <c r="O16" i="179" s="1"/>
  <c r="O17" i="179" s="1"/>
  <c r="O18" i="179" s="1"/>
  <c r="O19" i="179" s="1"/>
  <c r="O20" i="179" s="1"/>
  <c r="O21" i="179" s="1"/>
  <c r="O22" i="179" s="1"/>
  <c r="O23" i="179" s="1"/>
  <c r="O24" i="179" s="1"/>
  <c r="O25" i="179" s="1"/>
  <c r="O26" i="179" s="1"/>
  <c r="O27" i="179" s="1"/>
  <c r="O28" i="179" s="1"/>
  <c r="O29" i="179" s="1"/>
  <c r="O31" i="179" s="1"/>
  <c r="E28" i="184" s="1"/>
  <c r="O9" i="226"/>
  <c r="O10" i="226" s="1"/>
  <c r="O11" i="226" s="1"/>
  <c r="O12" i="226" s="1"/>
  <c r="O13" i="226" s="1"/>
  <c r="O14" i="226" s="1"/>
  <c r="O15" i="226" s="1"/>
  <c r="O16" i="226" s="1"/>
  <c r="O17" i="226" s="1"/>
  <c r="O18" i="226" s="1"/>
  <c r="O19" i="226" s="1"/>
  <c r="O20" i="226" s="1"/>
  <c r="O21" i="226" s="1"/>
  <c r="O22" i="226" s="1"/>
  <c r="O23" i="226" s="1"/>
  <c r="O24" i="226" s="1"/>
  <c r="O25" i="226" s="1"/>
  <c r="O26" i="226" s="1"/>
  <c r="O27" i="226" s="1"/>
  <c r="O28" i="226" s="1"/>
  <c r="O29" i="226" s="1"/>
  <c r="O31" i="226" s="1"/>
  <c r="E27" i="184" s="1"/>
  <c r="G9" i="226"/>
  <c r="G10" i="226" s="1"/>
  <c r="G11" i="226" s="1"/>
  <c r="G12" i="226" s="1"/>
  <c r="G13" i="226" s="1"/>
  <c r="G14" i="226" s="1"/>
  <c r="G15" i="226" s="1"/>
  <c r="G16" i="226" s="1"/>
  <c r="G17" i="226" s="1"/>
  <c r="G18" i="226" s="1"/>
  <c r="G19" i="226" s="1"/>
  <c r="G20" i="226" s="1"/>
  <c r="G21" i="226" s="1"/>
  <c r="G22" i="226" s="1"/>
  <c r="G23" i="226" s="1"/>
  <c r="G24" i="226" s="1"/>
  <c r="G25" i="226" s="1"/>
  <c r="G26" i="226" s="1"/>
  <c r="G27" i="226" s="1"/>
  <c r="G28" i="226" s="1"/>
  <c r="G29" i="226" s="1"/>
  <c r="O9" i="198"/>
  <c r="O10" i="198" s="1"/>
  <c r="O11" i="198" s="1"/>
  <c r="O12" i="198" s="1"/>
  <c r="O13" i="198" s="1"/>
  <c r="O14" i="198" s="1"/>
  <c r="O15" i="198" s="1"/>
  <c r="O16" i="198" s="1"/>
  <c r="O17" i="198" s="1"/>
  <c r="O18" i="198" s="1"/>
  <c r="O19" i="198" s="1"/>
  <c r="O20" i="198" s="1"/>
  <c r="O21" i="198" s="1"/>
  <c r="O22" i="198" s="1"/>
  <c r="O23" i="198" s="1"/>
  <c r="O24" i="198" s="1"/>
  <c r="O25" i="198" s="1"/>
  <c r="O26" i="198" s="1"/>
  <c r="O27" i="198" s="1"/>
  <c r="O28" i="198" s="1"/>
  <c r="D25" i="184"/>
  <c r="O31" i="13"/>
  <c r="E24" i="184" s="1"/>
  <c r="O21" i="242"/>
  <c r="O23" i="242" s="1"/>
  <c r="E23" i="184" s="1"/>
  <c r="O34" i="16"/>
  <c r="E22" i="184" s="1"/>
  <c r="O9" i="236"/>
  <c r="O10" i="236" s="1"/>
  <c r="O11" i="236" s="1"/>
  <c r="O12" i="236" s="1"/>
  <c r="O13" i="236" s="1"/>
  <c r="O14" i="236" s="1"/>
  <c r="O15" i="236" s="1"/>
  <c r="O16" i="236" s="1"/>
  <c r="O17" i="236" s="1"/>
  <c r="O18" i="236" s="1"/>
  <c r="O19" i="236" s="1"/>
  <c r="O20" i="236" s="1"/>
  <c r="O21" i="236" s="1"/>
  <c r="O22" i="236" s="1"/>
  <c r="O23" i="236" s="1"/>
  <c r="O25" i="236" s="1"/>
  <c r="E19" i="184" s="1"/>
  <c r="O8" i="296"/>
  <c r="O9" i="296" s="1"/>
  <c r="O10" i="296" s="1"/>
  <c r="O11" i="296" s="1"/>
  <c r="O12" i="296" s="1"/>
  <c r="O13" i="296" s="1"/>
  <c r="O14" i="296" s="1"/>
  <c r="O15" i="296" s="1"/>
  <c r="O16" i="296" s="1"/>
  <c r="O17" i="296" s="1"/>
  <c r="O18" i="296" s="1"/>
  <c r="O19" i="296" s="1"/>
  <c r="O20" i="296" s="1"/>
  <c r="O21" i="296" s="1"/>
  <c r="O22" i="296" s="1"/>
  <c r="O23" i="296" s="1"/>
  <c r="O24" i="296" s="1"/>
  <c r="O25" i="296" s="1"/>
  <c r="O26" i="296" s="1"/>
  <c r="O27" i="296" s="1"/>
  <c r="O28" i="296" s="1"/>
  <c r="O29" i="296" s="1"/>
  <c r="O30" i="296" s="1"/>
  <c r="O31" i="296" s="1"/>
  <c r="O33" i="296" s="1"/>
  <c r="E20" i="184" s="1"/>
  <c r="O9" i="2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5" i="2" s="1"/>
  <c r="E18" i="184" s="1"/>
  <c r="O8" i="270"/>
  <c r="O9" i="270" s="1"/>
  <c r="O10" i="270" s="1"/>
  <c r="O11" i="270" s="1"/>
  <c r="O12" i="270" s="1"/>
  <c r="O13" i="270" s="1"/>
  <c r="O14" i="270" s="1"/>
  <c r="O15" i="270" s="1"/>
  <c r="O16" i="270" s="1"/>
  <c r="O17" i="270" s="1"/>
  <c r="O18" i="270" s="1"/>
  <c r="O19" i="270" s="1"/>
  <c r="O20" i="270" s="1"/>
  <c r="O21" i="270" s="1"/>
  <c r="O22" i="270" s="1"/>
  <c r="O23" i="270" s="1"/>
  <c r="O24" i="270" s="1"/>
  <c r="O25" i="270" s="1"/>
  <c r="O26" i="270" s="1"/>
  <c r="O27" i="270" s="1"/>
  <c r="O29" i="270" s="1"/>
  <c r="E16" i="184" s="1"/>
  <c r="O8" i="182"/>
  <c r="O9" i="182" s="1"/>
  <c r="O10" i="182" s="1"/>
  <c r="O11" i="182" s="1"/>
  <c r="O12" i="182" s="1"/>
  <c r="O13" i="182" s="1"/>
  <c r="O14" i="182" s="1"/>
  <c r="O15" i="182" s="1"/>
  <c r="O16" i="182" s="1"/>
  <c r="O17" i="182" s="1"/>
  <c r="O18" i="182" s="1"/>
  <c r="O19" i="182" s="1"/>
  <c r="O20" i="182" s="1"/>
  <c r="O21" i="182" s="1"/>
  <c r="O22" i="182" s="1"/>
  <c r="O23" i="182" s="1"/>
  <c r="O24" i="182" s="1"/>
  <c r="O26" i="182" s="1"/>
  <c r="E15" i="184" s="1"/>
  <c r="O9" i="161"/>
  <c r="O10" i="161" s="1"/>
  <c r="O11" i="161" s="1"/>
  <c r="O12" i="161" s="1"/>
  <c r="O13" i="161" s="1"/>
  <c r="O14" i="161" s="1"/>
  <c r="O15" i="161" s="1"/>
  <c r="O16" i="161" s="1"/>
  <c r="O17" i="161" s="1"/>
  <c r="O18" i="161" s="1"/>
  <c r="O19" i="161" s="1"/>
  <c r="O20" i="161" s="1"/>
  <c r="O21" i="161" s="1"/>
  <c r="O22" i="161" s="1"/>
  <c r="O23" i="161" s="1"/>
  <c r="O24" i="161" s="1"/>
  <c r="O25" i="161" s="1"/>
  <c r="O26" i="161" s="1"/>
  <c r="O27" i="161" s="1"/>
  <c r="O28" i="161" s="1"/>
  <c r="O29" i="161" s="1"/>
  <c r="O30" i="161" s="1"/>
  <c r="O31" i="161" s="1"/>
  <c r="O32" i="161" s="1"/>
  <c r="O33" i="161" s="1"/>
  <c r="O34" i="161" s="1"/>
  <c r="O35" i="161" s="1"/>
  <c r="O36" i="161" s="1"/>
  <c r="O37" i="161" s="1"/>
  <c r="O38" i="161" s="1"/>
  <c r="O39" i="161" s="1"/>
  <c r="O40" i="161" s="1"/>
  <c r="O42" i="161" s="1"/>
  <c r="E14" i="184" s="1"/>
  <c r="D13" i="184"/>
  <c r="O9" i="268"/>
  <c r="O10" i="268" s="1"/>
  <c r="O11" i="268" s="1"/>
  <c r="O12" i="268" s="1"/>
  <c r="O13" i="268" s="1"/>
  <c r="O14" i="268" s="1"/>
  <c r="O15" i="268" s="1"/>
  <c r="O16" i="268" s="1"/>
  <c r="O17" i="268" s="1"/>
  <c r="O18" i="268" s="1"/>
  <c r="O19" i="268" s="1"/>
  <c r="O20" i="268" s="1"/>
  <c r="O21" i="268" s="1"/>
  <c r="O22" i="268" s="1"/>
  <c r="O23" i="268" s="1"/>
  <c r="O24" i="268" s="1"/>
  <c r="O25" i="268" s="1"/>
  <c r="O26" i="268" s="1"/>
  <c r="O27" i="268" s="1"/>
  <c r="O28" i="268" s="1"/>
  <c r="O29" i="268" s="1"/>
  <c r="O30" i="268" s="1"/>
  <c r="O31" i="268" s="1"/>
  <c r="O32" i="268" s="1"/>
  <c r="O33" i="268" s="1"/>
  <c r="O34" i="268" s="1"/>
  <c r="O35" i="268" s="1"/>
  <c r="O36" i="268" s="1"/>
  <c r="O38" i="268" s="1"/>
  <c r="E12" i="184" s="1"/>
  <c r="O9" i="195"/>
  <c r="O10" i="195" s="1"/>
  <c r="O11" i="195" s="1"/>
  <c r="O12" i="195" s="1"/>
  <c r="O13" i="195" s="1"/>
  <c r="O14" i="195" s="1"/>
  <c r="O15" i="195" s="1"/>
  <c r="O16" i="195" s="1"/>
  <c r="O17" i="195" s="1"/>
  <c r="O18" i="195" s="1"/>
  <c r="O19" i="195" s="1"/>
  <c r="O20" i="195" s="1"/>
  <c r="O21" i="195" s="1"/>
  <c r="O22" i="195" s="1"/>
  <c r="O23" i="195" s="1"/>
  <c r="O24" i="195" s="1"/>
  <c r="O26" i="195" s="1"/>
  <c r="E8" i="184" s="1"/>
  <c r="O8" i="223"/>
  <c r="O9" i="223" s="1"/>
  <c r="O10" i="223" s="1"/>
  <c r="O11" i="223" s="1"/>
  <c r="O12" i="223" s="1"/>
  <c r="O13" i="223" s="1"/>
  <c r="O14" i="223" s="1"/>
  <c r="O15" i="223" s="1"/>
  <c r="O16" i="223" s="1"/>
  <c r="O17" i="223" s="1"/>
  <c r="O18" i="223" s="1"/>
  <c r="O19" i="223" s="1"/>
  <c r="O20" i="223" s="1"/>
  <c r="O21" i="223" s="1"/>
  <c r="O22" i="223" s="1"/>
  <c r="O23" i="223" s="1"/>
  <c r="O24" i="223" s="1"/>
  <c r="O26" i="223" s="1"/>
  <c r="E50" i="184" s="1"/>
  <c r="O9" i="281"/>
  <c r="O10" i="281" s="1"/>
  <c r="O11" i="281" s="1"/>
  <c r="O12" i="281" s="1"/>
  <c r="O13" i="281" s="1"/>
  <c r="O14" i="281" s="1"/>
  <c r="O15" i="281" s="1"/>
  <c r="O16" i="281" s="1"/>
  <c r="O17" i="281" s="1"/>
  <c r="O18" i="281" s="1"/>
  <c r="O19" i="281" s="1"/>
  <c r="O20" i="281" s="1"/>
  <c r="O21" i="281" s="1"/>
  <c r="O22" i="281" s="1"/>
  <c r="O23" i="281" s="1"/>
  <c r="O24" i="281" s="1"/>
  <c r="O25" i="281" s="1"/>
  <c r="O26" i="281" s="1"/>
  <c r="O27" i="281" s="1"/>
  <c r="O28" i="281" s="1"/>
  <c r="O29" i="281" s="1"/>
  <c r="O31" i="281" s="1"/>
  <c r="E46" i="184" s="1"/>
  <c r="E4" i="184"/>
  <c r="O8" i="265"/>
  <c r="O9" i="265" s="1"/>
  <c r="O10" i="265" s="1"/>
  <c r="O11" i="265" s="1"/>
  <c r="O12" i="265" s="1"/>
  <c r="O13" i="265" s="1"/>
  <c r="O14" i="265" s="1"/>
  <c r="O15" i="265" s="1"/>
  <c r="O16" i="265" s="1"/>
  <c r="O17" i="265" s="1"/>
  <c r="O18" i="265" s="1"/>
  <c r="O19" i="265" s="1"/>
  <c r="O20" i="265" s="1"/>
  <c r="O22" i="265" s="1"/>
  <c r="O8" i="8"/>
  <c r="O9" i="8" s="1"/>
  <c r="O10" i="8" s="1"/>
  <c r="O11" i="8" s="1"/>
  <c r="O12" i="8" s="1"/>
  <c r="O13" i="8" s="1"/>
  <c r="O9" i="263"/>
  <c r="O10" i="263" s="1"/>
  <c r="O11" i="263" s="1"/>
  <c r="O12" i="263" s="1"/>
  <c r="B46" i="184"/>
  <c r="B45" i="184"/>
  <c r="B42" i="184"/>
  <c r="B41" i="184"/>
  <c r="B35" i="184"/>
  <c r="B33" i="184"/>
  <c r="B27" i="184"/>
  <c r="B23" i="184"/>
  <c r="B22" i="184"/>
  <c r="B19" i="184"/>
  <c r="D15" i="184" l="1"/>
  <c r="D4" i="184"/>
  <c r="O9" i="293"/>
  <c r="O10" i="293" s="1"/>
  <c r="O11" i="293" s="1"/>
  <c r="O12" i="293" s="1"/>
  <c r="O13" i="293" s="1"/>
  <c r="O14" i="293" s="1"/>
  <c r="O15" i="293" s="1"/>
  <c r="O16" i="293" s="1"/>
  <c r="O17" i="293" s="1"/>
  <c r="O18" i="293" s="1"/>
  <c r="O19" i="293" s="1"/>
  <c r="O20" i="293" s="1"/>
  <c r="O21" i="293" s="1"/>
  <c r="O22" i="293" s="1"/>
  <c r="O23" i="293" s="1"/>
  <c r="O24" i="293" s="1"/>
  <c r="O25" i="293" s="1"/>
  <c r="O26" i="293" s="1"/>
  <c r="O27" i="293" s="1"/>
  <c r="O29" i="293" s="1"/>
  <c r="E48" i="184" s="1"/>
  <c r="O10" i="191"/>
  <c r="O11" i="191" s="1"/>
  <c r="O12" i="191" s="1"/>
  <c r="O13" i="191" s="1"/>
  <c r="O14" i="191" s="1"/>
  <c r="O15" i="191" s="1"/>
  <c r="O16" i="191" s="1"/>
  <c r="O17" i="191" s="1"/>
  <c r="O18" i="191" s="1"/>
  <c r="O19" i="191" s="1"/>
  <c r="O20" i="191" s="1"/>
  <c r="O21" i="191" s="1"/>
  <c r="O22" i="191" s="1"/>
  <c r="O23" i="191" s="1"/>
  <c r="O24" i="191" s="1"/>
  <c r="O25" i="191" s="1"/>
  <c r="O26" i="191" s="1"/>
  <c r="O27" i="191" s="1"/>
  <c r="O29" i="191" s="1"/>
  <c r="E39" i="184" s="1"/>
  <c r="O30" i="198"/>
  <c r="E26" i="184" s="1"/>
  <c r="O9" i="260"/>
  <c r="O10" i="260" s="1"/>
  <c r="O11" i="260" s="1"/>
  <c r="O12" i="260" s="1"/>
  <c r="O13" i="260" s="1"/>
  <c r="O14" i="260" s="1"/>
  <c r="O15" i="260" s="1"/>
  <c r="O16" i="260" s="1"/>
  <c r="O17" i="260" s="1"/>
  <c r="O18" i="260" s="1"/>
  <c r="O19" i="260" s="1"/>
  <c r="O20" i="260" s="1"/>
  <c r="O21" i="260" s="1"/>
  <c r="O22" i="260" s="1"/>
  <c r="O23" i="260" s="1"/>
  <c r="O24" i="260" s="1"/>
  <c r="O25" i="260" s="1"/>
  <c r="O26" i="260" s="1"/>
  <c r="O27" i="260" s="1"/>
  <c r="O28" i="260" s="1"/>
  <c r="O30" i="260" s="1"/>
  <c r="E5" i="184" s="1"/>
  <c r="O9" i="133"/>
  <c r="O10" i="133" s="1"/>
  <c r="O11" i="133" s="1"/>
  <c r="O12" i="133" s="1"/>
  <c r="O13" i="133" s="1"/>
  <c r="O14" i="133" s="1"/>
  <c r="O15" i="133" s="1"/>
  <c r="O16" i="133" s="1"/>
  <c r="O17" i="133" s="1"/>
  <c r="O18" i="133" s="1"/>
  <c r="O19" i="133" s="1"/>
  <c r="O20" i="133" s="1"/>
  <c r="O21" i="133" s="1"/>
  <c r="O22" i="133" s="1"/>
  <c r="O23" i="133" s="1"/>
  <c r="O24" i="133" s="1"/>
  <c r="O25" i="133" s="1"/>
  <c r="O26" i="133" s="1"/>
  <c r="O27" i="133" s="1"/>
  <c r="O28" i="133" s="1"/>
  <c r="O29" i="133" s="1"/>
  <c r="O30" i="133" s="1"/>
  <c r="O31" i="133" s="1"/>
  <c r="O33" i="133" s="1"/>
  <c r="E36" i="184" s="1"/>
  <c r="D16" i="184"/>
  <c r="D12" i="184"/>
  <c r="D3" i="184"/>
  <c r="O13" i="263"/>
  <c r="O14" i="263" s="1"/>
  <c r="O15" i="263" s="1"/>
  <c r="O16" i="263" s="1"/>
  <c r="O17" i="263" s="1"/>
  <c r="O18" i="263" s="1"/>
  <c r="O19" i="263" s="1"/>
  <c r="O20" i="263" s="1"/>
  <c r="O21" i="263" s="1"/>
  <c r="O22" i="263" s="1"/>
  <c r="O23" i="263" s="1"/>
  <c r="O24" i="263" s="1"/>
  <c r="O25" i="263" s="1"/>
  <c r="O26" i="263" s="1"/>
  <c r="O27" i="263" s="1"/>
  <c r="O28" i="263" s="1"/>
  <c r="O30" i="263" s="1"/>
  <c r="E2" i="184" s="1"/>
  <c r="D2" i="184"/>
  <c r="D50" i="184"/>
  <c r="D48" i="184"/>
  <c r="D39" i="184"/>
  <c r="D34" i="184"/>
  <c r="D32" i="184"/>
  <c r="O9" i="278"/>
  <c r="O10" i="278" s="1"/>
  <c r="O11" i="278" s="1"/>
  <c r="O12" i="278" s="1"/>
  <c r="O13" i="278" s="1"/>
  <c r="O14" i="278" s="1"/>
  <c r="O15" i="278" s="1"/>
  <c r="O16" i="278" s="1"/>
  <c r="O17" i="278" s="1"/>
  <c r="O18" i="278" s="1"/>
  <c r="O19" i="278" s="1"/>
  <c r="O20" i="278" s="1"/>
  <c r="O21" i="278" s="1"/>
  <c r="O22" i="278" s="1"/>
  <c r="O23" i="278" s="1"/>
  <c r="O24" i="278" s="1"/>
  <c r="O25" i="278" s="1"/>
  <c r="O26" i="278" s="1"/>
  <c r="O27" i="278" s="1"/>
  <c r="O28" i="278" s="1"/>
  <c r="O30" i="278" s="1"/>
  <c r="E30" i="184" s="1"/>
  <c r="D29" i="184"/>
  <c r="D28" i="184"/>
  <c r="D26" i="184"/>
  <c r="O9" i="14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8" i="14" s="1"/>
  <c r="E25" i="184" s="1"/>
  <c r="D24" i="184"/>
  <c r="D20" i="184"/>
  <c r="D18" i="184"/>
  <c r="D14" i="184"/>
  <c r="O9" i="253"/>
  <c r="O10" i="253" s="1"/>
  <c r="O11" i="253" s="1"/>
  <c r="O12" i="253" s="1"/>
  <c r="O13" i="253" s="1"/>
  <c r="O14" i="253" s="1"/>
  <c r="O15" i="253" s="1"/>
  <c r="O16" i="253" s="1"/>
  <c r="O17" i="253" s="1"/>
  <c r="O18" i="253" s="1"/>
  <c r="O19" i="253" s="1"/>
  <c r="O20" i="253" s="1"/>
  <c r="O21" i="253" s="1"/>
  <c r="O22" i="253" s="1"/>
  <c r="O23" i="253" s="1"/>
  <c r="O24" i="253" s="1"/>
  <c r="O25" i="253" s="1"/>
  <c r="O26" i="253" s="1"/>
  <c r="O27" i="253" s="1"/>
  <c r="O28" i="253" s="1"/>
  <c r="O30" i="253" s="1"/>
  <c r="E13" i="184" s="1"/>
  <c r="D7" i="184"/>
  <c r="O15" i="8"/>
  <c r="E3" i="184" s="1"/>
  <c r="G9" i="299" l="1"/>
  <c r="G10" i="299" s="1"/>
  <c r="G11" i="299" s="1"/>
  <c r="G12" i="299" s="1"/>
  <c r="G13" i="299" s="1"/>
  <c r="G14" i="299" s="1"/>
  <c r="G15" i="299" l="1"/>
  <c r="G16" i="299" s="1"/>
  <c r="G17" i="299" s="1"/>
  <c r="G18" i="299" s="1"/>
  <c r="G19" i="299" s="1"/>
  <c r="G20" i="299" s="1"/>
  <c r="G21" i="299" s="1"/>
  <c r="G22" i="299" s="1"/>
  <c r="G23" i="299" s="1"/>
  <c r="G24" i="299" s="1"/>
  <c r="G25" i="299" s="1"/>
  <c r="G26" i="299" s="1"/>
  <c r="G28" i="299" s="1"/>
  <c r="C21" i="184" s="1"/>
  <c r="G9" i="298"/>
  <c r="G10" i="298" s="1"/>
  <c r="G11" i="298" s="1"/>
  <c r="G12" i="298" s="1"/>
  <c r="G13" i="298" s="1"/>
  <c r="G14" i="298" s="1"/>
  <c r="G15" i="298" s="1"/>
  <c r="G16" i="298" s="1"/>
  <c r="G17" i="298" s="1"/>
  <c r="G18" i="298" s="1"/>
  <c r="G19" i="298" s="1"/>
  <c r="G20" i="298" s="1"/>
  <c r="G21" i="298" s="1"/>
  <c r="G22" i="298" s="1"/>
  <c r="G23" i="298" s="1"/>
  <c r="G24" i="298" s="1"/>
  <c r="G25" i="298" s="1"/>
  <c r="G26" i="298" s="1"/>
  <c r="G27" i="298" s="1"/>
  <c r="G28" i="298" s="1"/>
  <c r="G29" i="298" s="1"/>
  <c r="G30" i="298" s="1"/>
  <c r="G31" i="298" s="1"/>
  <c r="G32" i="298" s="1"/>
  <c r="G33" i="298" s="1"/>
  <c r="G34" i="298" l="1"/>
  <c r="G35" i="298" s="1"/>
  <c r="G36" i="298" s="1"/>
  <c r="G37" i="298" s="1"/>
  <c r="G38" i="298" s="1"/>
  <c r="G39" i="298" s="1"/>
  <c r="G40" i="298" s="1"/>
  <c r="G41" i="298" s="1"/>
  <c r="G42" i="298" s="1"/>
  <c r="G44" i="298" s="1"/>
  <c r="C45" i="184" s="1"/>
  <c r="B20" i="184"/>
  <c r="G9" i="296" l="1"/>
  <c r="G10" i="296" s="1"/>
  <c r="G11" i="296" s="1"/>
  <c r="G12" i="296" s="1"/>
  <c r="G13" i="296" s="1"/>
  <c r="G14" i="296" s="1"/>
  <c r="G15" i="296" s="1"/>
  <c r="G16" i="296" s="1"/>
  <c r="G17" i="296" s="1"/>
  <c r="G18" i="296" s="1"/>
  <c r="G19" i="296" s="1"/>
  <c r="G20" i="296" s="1"/>
  <c r="B39" i="184"/>
  <c r="G21" i="296" l="1"/>
  <c r="G22" i="296" s="1"/>
  <c r="G23" i="296" s="1"/>
  <c r="G24" i="296" s="1"/>
  <c r="G25" i="296" s="1"/>
  <c r="G26" i="296" s="1"/>
  <c r="G27" i="296" s="1"/>
  <c r="G28" i="296" s="1"/>
  <c r="G29" i="296" s="1"/>
  <c r="G30" i="296" s="1"/>
  <c r="G31" i="296" s="1"/>
  <c r="G33" i="296" s="1"/>
  <c r="C20" i="184" s="1"/>
  <c r="B25" i="184"/>
  <c r="G8" i="223" l="1"/>
  <c r="B36" i="184"/>
  <c r="B34" i="184"/>
  <c r="B32" i="184"/>
  <c r="G8" i="278"/>
  <c r="B30" i="184" s="1"/>
  <c r="B29" i="184"/>
  <c r="B28" i="184"/>
  <c r="B26" i="184"/>
  <c r="B24" i="184"/>
  <c r="B18" i="184"/>
  <c r="G8" i="270"/>
  <c r="B16" i="184" s="1"/>
  <c r="G8" i="182"/>
  <c r="B15" i="184" s="1"/>
  <c r="B14" i="184"/>
  <c r="G8" i="253"/>
  <c r="B13" i="184" s="1"/>
  <c r="B12" i="184"/>
  <c r="G8" i="195"/>
  <c r="B8" i="184" s="1"/>
  <c r="G8" i="265"/>
  <c r="B4" i="184" s="1"/>
  <c r="G8" i="8"/>
  <c r="B3" i="184" s="1"/>
  <c r="B2" i="184"/>
  <c r="G9" i="212"/>
  <c r="G10" i="212" s="1"/>
  <c r="G11" i="212" s="1"/>
  <c r="G12" i="212" s="1"/>
  <c r="B50" i="184" l="1"/>
  <c r="G9" i="223"/>
  <c r="G10" i="223" s="1"/>
  <c r="G11" i="223" s="1"/>
  <c r="G12" i="223" s="1"/>
  <c r="G13" i="223" s="1"/>
  <c r="G14" i="223" s="1"/>
  <c r="G15" i="223" s="1"/>
  <c r="G16" i="223" s="1"/>
  <c r="G17" i="223" s="1"/>
  <c r="G18" i="223" s="1"/>
  <c r="G9" i="293"/>
  <c r="G10" i="293" s="1"/>
  <c r="G11" i="293" s="1"/>
  <c r="G12" i="293" s="1"/>
  <c r="G13" i="293" s="1"/>
  <c r="G14" i="293" s="1"/>
  <c r="G15" i="293" s="1"/>
  <c r="G16" i="293" s="1"/>
  <c r="G17" i="293" s="1"/>
  <c r="B48" i="184"/>
  <c r="G9" i="281"/>
  <c r="G10" i="281" s="1"/>
  <c r="G11" i="281" s="1"/>
  <c r="G12" i="281" s="1"/>
  <c r="G13" i="281" s="1"/>
  <c r="B52" i="184" l="1"/>
  <c r="G18" i="293"/>
  <c r="G19" i="293" s="1"/>
  <c r="G20" i="293" s="1"/>
  <c r="G21" i="293" s="1"/>
  <c r="G22" i="293" s="1"/>
  <c r="G23" i="293" s="1"/>
  <c r="G24" i="293" s="1"/>
  <c r="G25" i="293" s="1"/>
  <c r="G26" i="293" s="1"/>
  <c r="G27" i="293" s="1"/>
  <c r="G29" i="293" s="1"/>
  <c r="C48" i="184" s="1"/>
  <c r="G14" i="281"/>
  <c r="G15" i="281" s="1"/>
  <c r="G16" i="281" s="1"/>
  <c r="G17" i="281" s="1"/>
  <c r="G18" i="281" s="1"/>
  <c r="G19" i="281" s="1"/>
  <c r="G20" i="281" s="1"/>
  <c r="G21" i="281" s="1"/>
  <c r="G22" i="281" s="1"/>
  <c r="G23" i="281" s="1"/>
  <c r="G24" i="281" s="1"/>
  <c r="G25" i="281" s="1"/>
  <c r="G26" i="281" s="1"/>
  <c r="G27" i="281" s="1"/>
  <c r="G28" i="281" s="1"/>
  <c r="G29" i="281" s="1"/>
  <c r="G31" i="281" s="1"/>
  <c r="C46" i="184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9" i="198" l="1"/>
  <c r="G9" i="278" l="1"/>
  <c r="G10" i="278" s="1"/>
  <c r="G11" i="278" s="1"/>
  <c r="G12" i="278" s="1"/>
  <c r="G13" i="278" s="1"/>
  <c r="G14" i="278" s="1"/>
  <c r="G15" i="278" s="1"/>
  <c r="G16" i="278" s="1"/>
  <c r="G17" i="278" s="1"/>
  <c r="G18" i="278" s="1"/>
  <c r="G19" i="278" s="1"/>
  <c r="G20" i="278" s="1"/>
  <c r="G21" i="278" s="1"/>
  <c r="G22" i="278" s="1"/>
  <c r="G23" i="278" s="1"/>
  <c r="G24" i="278" s="1"/>
  <c r="G25" i="278" s="1"/>
  <c r="G26" i="278" s="1"/>
  <c r="G27" i="278" l="1"/>
  <c r="G28" i="278" s="1"/>
  <c r="G30" i="278" s="1"/>
  <c r="C30" i="184" s="1"/>
  <c r="G9" i="14"/>
  <c r="G10" i="14" s="1"/>
  <c r="G11" i="14" s="1"/>
  <c r="G9" i="195" l="1"/>
  <c r="G10" i="195" s="1"/>
  <c r="G11" i="195" s="1"/>
  <c r="G12" i="195" l="1"/>
  <c r="G13" i="195" s="1"/>
  <c r="G14" i="195" s="1"/>
  <c r="G9" i="124"/>
  <c r="G10" i="124" s="1"/>
  <c r="G11" i="124" s="1"/>
  <c r="G12" i="124" s="1"/>
  <c r="G13" i="124" s="1"/>
  <c r="G14" i="124" s="1"/>
  <c r="G9" i="260" l="1"/>
  <c r="G9" i="276"/>
  <c r="G10" i="276" s="1"/>
  <c r="G11" i="276" s="1"/>
  <c r="G12" i="276" s="1"/>
  <c r="G13" i="276" s="1"/>
  <c r="G14" i="276" s="1"/>
  <c r="G15" i="276" s="1"/>
  <c r="G16" i="276" s="1"/>
  <c r="G17" i="276" s="1"/>
  <c r="G18" i="276" s="1"/>
  <c r="G19" i="276" s="1"/>
  <c r="G20" i="276" s="1"/>
  <c r="G21" i="276" s="1"/>
  <c r="G22" i="276" s="1"/>
  <c r="G23" i="276" s="1"/>
  <c r="G24" i="276" s="1"/>
  <c r="G25" i="276" s="1"/>
  <c r="G26" i="276" s="1"/>
  <c r="G27" i="276" s="1"/>
  <c r="G28" i="276" s="1"/>
  <c r="G9" i="270"/>
  <c r="G10" i="270" s="1"/>
  <c r="G11" i="270" s="1"/>
  <c r="G12" i="270" s="1"/>
  <c r="G9" i="268"/>
  <c r="G10" i="268" s="1"/>
  <c r="G11" i="268" s="1"/>
  <c r="G12" i="268" s="1"/>
  <c r="G13" i="268" s="1"/>
  <c r="G14" i="268" s="1"/>
  <c r="G15" i="268" s="1"/>
  <c r="G16" i="268" s="1"/>
  <c r="G17" i="268" s="1"/>
  <c r="G18" i="268" s="1"/>
  <c r="G19" i="268" s="1"/>
  <c r="G20" i="268" s="1"/>
  <c r="G21" i="268" s="1"/>
  <c r="G22" i="268" s="1"/>
  <c r="G23" i="268" s="1"/>
  <c r="G24" i="268" s="1"/>
  <c r="G25" i="268" s="1"/>
  <c r="G26" i="268" s="1"/>
  <c r="G27" i="268" s="1"/>
  <c r="G28" i="268" s="1"/>
  <c r="G29" i="268" s="1"/>
  <c r="G30" i="268" s="1"/>
  <c r="G31" i="268" s="1"/>
  <c r="G32" i="268" s="1"/>
  <c r="G33" i="268" s="1"/>
  <c r="G9" i="266"/>
  <c r="G10" i="266" s="1"/>
  <c r="G11" i="266" s="1"/>
  <c r="G9" i="265"/>
  <c r="G10" i="265" s="1"/>
  <c r="G11" i="265" s="1"/>
  <c r="G9" i="263"/>
  <c r="G10" i="263" s="1"/>
  <c r="G11" i="263" s="1"/>
  <c r="G12" i="263" l="1"/>
  <c r="G13" i="263" s="1"/>
  <c r="G14" i="263" s="1"/>
  <c r="G15" i="263" s="1"/>
  <c r="G16" i="263" s="1"/>
  <c r="G17" i="263" s="1"/>
  <c r="G18" i="263" s="1"/>
  <c r="G19" i="263" s="1"/>
  <c r="G20" i="263" s="1"/>
  <c r="G21" i="263" s="1"/>
  <c r="G22" i="263" s="1"/>
  <c r="G23" i="263" s="1"/>
  <c r="G24" i="263" s="1"/>
  <c r="G25" i="263" s="1"/>
  <c r="G26" i="263" s="1"/>
  <c r="G27" i="263" s="1"/>
  <c r="G28" i="263" s="1"/>
  <c r="G30" i="263" s="1"/>
  <c r="C2" i="184" s="1"/>
  <c r="G30" i="276"/>
  <c r="C38" i="184" s="1"/>
  <c r="G12" i="266"/>
  <c r="G13" i="266" s="1"/>
  <c r="G14" i="266" s="1"/>
  <c r="G15" i="266" s="1"/>
  <c r="G16" i="266" s="1"/>
  <c r="G17" i="266" s="1"/>
  <c r="G18" i="266" s="1"/>
  <c r="G19" i="266" s="1"/>
  <c r="G20" i="266" s="1"/>
  <c r="G21" i="266" s="1"/>
  <c r="G22" i="266" s="1"/>
  <c r="G23" i="266" s="1"/>
  <c r="G24" i="266" s="1"/>
  <c r="G25" i="266" s="1"/>
  <c r="G26" i="266" s="1"/>
  <c r="G28" i="266" s="1"/>
  <c r="C33" i="184" s="1"/>
  <c r="G34" i="268"/>
  <c r="G35" i="268" s="1"/>
  <c r="G36" i="268" s="1"/>
  <c r="G38" i="268" s="1"/>
  <c r="C12" i="184" s="1"/>
  <c r="G13" i="270"/>
  <c r="G14" i="270" s="1"/>
  <c r="G15" i="270" s="1"/>
  <c r="G16" i="270" s="1"/>
  <c r="G17" i="270" s="1"/>
  <c r="G18" i="270" s="1"/>
  <c r="G19" i="270" s="1"/>
  <c r="G20" i="270" s="1"/>
  <c r="G21" i="270" s="1"/>
  <c r="G22" i="270" s="1"/>
  <c r="G23" i="270" s="1"/>
  <c r="G24" i="270" s="1"/>
  <c r="G25" i="270" s="1"/>
  <c r="G26" i="270" s="1"/>
  <c r="G27" i="270" s="1"/>
  <c r="G29" i="270" s="1"/>
  <c r="C16" i="184" s="1"/>
  <c r="G12" i="265"/>
  <c r="G13" i="265" s="1"/>
  <c r="G14" i="265" s="1"/>
  <c r="G15" i="265" s="1"/>
  <c r="G16" i="265" s="1"/>
  <c r="G17" i="265" s="1"/>
  <c r="G18" i="265" s="1"/>
  <c r="G19" i="265" s="1"/>
  <c r="G20" i="265" s="1"/>
  <c r="G22" i="265" s="1"/>
  <c r="C4" i="184" s="1"/>
  <c r="G9" i="133"/>
  <c r="G10" i="133" s="1"/>
  <c r="G11" i="133" s="1"/>
  <c r="G12" i="133" s="1"/>
  <c r="G13" i="133" s="1"/>
  <c r="G10" i="260" l="1"/>
  <c r="G11" i="260" s="1"/>
  <c r="G12" i="260" s="1"/>
  <c r="G13" i="260" s="1"/>
  <c r="G14" i="260" s="1"/>
  <c r="G15" i="260" l="1"/>
  <c r="G16" i="260" s="1"/>
  <c r="G17" i="260" s="1"/>
  <c r="G18" i="260" s="1"/>
  <c r="G19" i="260" s="1"/>
  <c r="G20" i="260" s="1"/>
  <c r="G21" i="260" s="1"/>
  <c r="G22" i="260" s="1"/>
  <c r="G23" i="260" s="1"/>
  <c r="G24" i="260" s="1"/>
  <c r="G25" i="260" s="1"/>
  <c r="G26" i="260" s="1"/>
  <c r="G27" i="260" s="1"/>
  <c r="G28" i="260" s="1"/>
  <c r="G30" i="260" s="1"/>
  <c r="C5" i="184" s="1"/>
  <c r="G9" i="28"/>
  <c r="G10" i="28" s="1"/>
  <c r="G11" i="28" s="1"/>
  <c r="G12" i="28" s="1"/>
  <c r="G13" i="28" s="1"/>
  <c r="G14" i="28" s="1"/>
  <c r="G15" i="28" s="1"/>
  <c r="G16" i="28" s="1"/>
  <c r="G17" i="28" s="1"/>
  <c r="G18" i="28" s="1"/>
  <c r="G9" i="253" l="1"/>
  <c r="G10" i="253" s="1"/>
  <c r="G11" i="253" s="1"/>
  <c r="G12" i="253" s="1"/>
  <c r="G13" i="253" s="1"/>
  <c r="G14" i="253" s="1"/>
  <c r="G15" i="253" s="1"/>
  <c r="G16" i="253" s="1"/>
  <c r="G17" i="253" s="1"/>
  <c r="G18" i="253" s="1"/>
  <c r="G19" i="253" s="1"/>
  <c r="G20" i="253" s="1"/>
  <c r="G21" i="253" s="1"/>
  <c r="G22" i="253" s="1"/>
  <c r="G23" i="253" s="1"/>
  <c r="G24" i="253" s="1"/>
  <c r="G25" i="253" l="1"/>
  <c r="G26" i="253" s="1"/>
  <c r="G27" i="253" s="1"/>
  <c r="G28" i="253" s="1"/>
  <c r="G30" i="253" s="1"/>
  <c r="C13" i="184" s="1"/>
  <c r="G9" i="243" l="1"/>
  <c r="G10" i="243" s="1"/>
  <c r="G11" i="243" s="1"/>
  <c r="G12" i="243" s="1"/>
  <c r="G13" i="243" s="1"/>
  <c r="G14" i="243" s="1"/>
  <c r="G15" i="243" s="1"/>
  <c r="G16" i="243" l="1"/>
  <c r="G17" i="243" s="1"/>
  <c r="G18" i="243" s="1"/>
  <c r="G19" i="243" s="1"/>
  <c r="G20" i="243" s="1"/>
  <c r="G21" i="243" s="1"/>
  <c r="G22" i="243" s="1"/>
  <c r="G23" i="243" s="1"/>
  <c r="G24" i="243" s="1"/>
  <c r="G25" i="243" s="1"/>
  <c r="G27" i="243" s="1"/>
  <c r="C34" i="184" s="1"/>
  <c r="G9" i="242"/>
  <c r="G10" i="242" s="1"/>
  <c r="G11" i="242" s="1"/>
  <c r="G12" i="242" s="1"/>
  <c r="G19" i="28"/>
  <c r="G20" i="28" s="1"/>
  <c r="G21" i="28" s="1"/>
  <c r="G22" i="28" s="1"/>
  <c r="G23" i="28" s="1"/>
  <c r="G24" i="28" s="1"/>
  <c r="G25" i="28" s="1"/>
  <c r="G26" i="28" s="1"/>
  <c r="G27" i="28" s="1"/>
  <c r="G13" i="242" l="1"/>
  <c r="G14" i="242" s="1"/>
  <c r="G15" i="242" s="1"/>
  <c r="G16" i="242" s="1"/>
  <c r="G17" i="242" s="1"/>
  <c r="G18" i="242" s="1"/>
  <c r="G19" i="242" s="1"/>
  <c r="G20" i="242" s="1"/>
  <c r="G21" i="242" s="1"/>
  <c r="G23" i="242" s="1"/>
  <c r="C23" i="184" s="1"/>
  <c r="G9" i="236"/>
  <c r="G19" i="223"/>
  <c r="G9" i="8"/>
  <c r="G10" i="8" s="1"/>
  <c r="G11" i="8" s="1"/>
  <c r="G12" i="8" s="1"/>
  <c r="G13" i="8" s="1"/>
  <c r="G15" i="8" s="1"/>
  <c r="C3" i="184" s="1"/>
  <c r="G9" i="230"/>
  <c r="G10" i="230" s="1"/>
  <c r="G11" i="230" s="1"/>
  <c r="G12" i="230" s="1"/>
  <c r="G13" i="230" s="1"/>
  <c r="G31" i="226"/>
  <c r="C27" i="184" s="1"/>
  <c r="G9" i="81"/>
  <c r="G9" i="191"/>
  <c r="G10" i="191" s="1"/>
  <c r="G11" i="191" s="1"/>
  <c r="G12" i="191" s="1"/>
  <c r="G13" i="191" s="1"/>
  <c r="G29" i="28"/>
  <c r="C41" i="184" s="1"/>
  <c r="G14" i="133"/>
  <c r="G15" i="133" s="1"/>
  <c r="G16" i="133" s="1"/>
  <c r="G17" i="133" s="1"/>
  <c r="G18" i="133" s="1"/>
  <c r="G19" i="133" s="1"/>
  <c r="G20" i="133" s="1"/>
  <c r="G21" i="133" s="1"/>
  <c r="G22" i="133" s="1"/>
  <c r="G23" i="133" s="1"/>
  <c r="G24" i="133" s="1"/>
  <c r="G25" i="133" s="1"/>
  <c r="G26" i="133" s="1"/>
  <c r="G27" i="133" s="1"/>
  <c r="G28" i="133" s="1"/>
  <c r="G29" i="133" s="1"/>
  <c r="G30" i="133" s="1"/>
  <c r="G31" i="133" s="1"/>
  <c r="G9" i="148"/>
  <c r="G10" i="148" s="1"/>
  <c r="G11" i="148" s="1"/>
  <c r="G9" i="117"/>
  <c r="G13" i="212"/>
  <c r="G14" i="212" s="1"/>
  <c r="G15" i="212" s="1"/>
  <c r="G16" i="212" s="1"/>
  <c r="G17" i="212" s="1"/>
  <c r="G18" i="212" s="1"/>
  <c r="G19" i="212" s="1"/>
  <c r="G20" i="212" s="1"/>
  <c r="G21" i="212" s="1"/>
  <c r="G22" i="212" s="1"/>
  <c r="G23" i="212" s="1"/>
  <c r="G24" i="212" s="1"/>
  <c r="G25" i="212" s="1"/>
  <c r="G26" i="212" s="1"/>
  <c r="G27" i="212" s="1"/>
  <c r="G29" i="212" s="1"/>
  <c r="C37" i="184" s="1"/>
  <c r="G10" i="198"/>
  <c r="G11" i="198" s="1"/>
  <c r="G12" i="198" s="1"/>
  <c r="G13" i="198" s="1"/>
  <c r="G14" i="198" s="1"/>
  <c r="G15" i="198" s="1"/>
  <c r="G16" i="198" s="1"/>
  <c r="G17" i="198" s="1"/>
  <c r="G18" i="198" s="1"/>
  <c r="G19" i="198" s="1"/>
  <c r="G20" i="198" s="1"/>
  <c r="G21" i="198" s="1"/>
  <c r="G22" i="198" s="1"/>
  <c r="G23" i="198" s="1"/>
  <c r="G12" i="14"/>
  <c r="G13" i="14" s="1"/>
  <c r="G14" i="14" s="1"/>
  <c r="G15" i="14" s="1"/>
  <c r="G16" i="14" s="1"/>
  <c r="G17" i="14" s="1"/>
  <c r="G9" i="13"/>
  <c r="G10" i="13" s="1"/>
  <c r="G11" i="13" s="1"/>
  <c r="G12" i="13" s="1"/>
  <c r="G13" i="13" s="1"/>
  <c r="G9" i="16"/>
  <c r="G9" i="180"/>
  <c r="G10" i="180" s="1"/>
  <c r="G11" i="180" s="1"/>
  <c r="G9" i="161"/>
  <c r="G10" i="161" s="1"/>
  <c r="G11" i="161" s="1"/>
  <c r="G12" i="161" s="1"/>
  <c r="G13" i="161" s="1"/>
  <c r="G15" i="195"/>
  <c r="G16" i="195" s="1"/>
  <c r="G17" i="195" s="1"/>
  <c r="G18" i="195" s="1"/>
  <c r="G19" i="195" s="1"/>
  <c r="G20" i="195" s="1"/>
  <c r="G21" i="195" s="1"/>
  <c r="G22" i="195" s="1"/>
  <c r="G23" i="195" s="1"/>
  <c r="G24" i="195" s="1"/>
  <c r="G15" i="124"/>
  <c r="G16" i="124" s="1"/>
  <c r="G17" i="124" s="1"/>
  <c r="G18" i="124" s="1"/>
  <c r="G19" i="124" s="1"/>
  <c r="G20" i="124" s="1"/>
  <c r="G21" i="124" s="1"/>
  <c r="G22" i="124" s="1"/>
  <c r="G23" i="124" s="1"/>
  <c r="G24" i="124" s="1"/>
  <c r="G25" i="124" s="1"/>
  <c r="G9" i="182"/>
  <c r="G12" i="148" l="1"/>
  <c r="G13" i="148" s="1"/>
  <c r="G14" i="148" s="1"/>
  <c r="G15" i="148" s="1"/>
  <c r="G16" i="148" s="1"/>
  <c r="G17" i="148" s="1"/>
  <c r="G18" i="148" s="1"/>
  <c r="G19" i="148" s="1"/>
  <c r="G20" i="148" s="1"/>
  <c r="G21" i="148" s="1"/>
  <c r="G22" i="148" s="1"/>
  <c r="G24" i="148" s="1"/>
  <c r="C35" i="184" s="1"/>
  <c r="G10" i="182"/>
  <c r="G11" i="182" s="1"/>
  <c r="G12" i="182" s="1"/>
  <c r="G13" i="182" s="1"/>
  <c r="G14" i="182" s="1"/>
  <c r="G15" i="182" s="1"/>
  <c r="G16" i="182" s="1"/>
  <c r="G17" i="182" s="1"/>
  <c r="G18" i="182" s="1"/>
  <c r="G19" i="182" s="1"/>
  <c r="G20" i="182" s="1"/>
  <c r="G21" i="182" s="1"/>
  <c r="G22" i="182" s="1"/>
  <c r="G23" i="182" s="1"/>
  <c r="G24" i="182" s="1"/>
  <c r="G26" i="182" s="1"/>
  <c r="C15" i="184" s="1"/>
  <c r="G20" i="223"/>
  <c r="G21" i="223" s="1"/>
  <c r="G22" i="223" s="1"/>
  <c r="G23" i="223" s="1"/>
  <c r="G24" i="223" s="1"/>
  <c r="G26" i="223" s="1"/>
  <c r="C50" i="184" s="1"/>
  <c r="G10" i="81"/>
  <c r="G11" i="81" s="1"/>
  <c r="G12" i="81" s="1"/>
  <c r="G13" i="81" s="1"/>
  <c r="G14" i="81" s="1"/>
  <c r="G15" i="81" s="1"/>
  <c r="G16" i="81" s="1"/>
  <c r="G17" i="81" s="1"/>
  <c r="G18" i="81" s="1"/>
  <c r="G19" i="81" s="1"/>
  <c r="G20" i="81" s="1"/>
  <c r="G21" i="81" s="1"/>
  <c r="G22" i="81" s="1"/>
  <c r="G23" i="81" s="1"/>
  <c r="G24" i="81" s="1"/>
  <c r="G25" i="81" s="1"/>
  <c r="G26" i="81" s="1"/>
  <c r="G27" i="81" s="1"/>
  <c r="G28" i="81" s="1"/>
  <c r="G29" i="81" s="1"/>
  <c r="G30" i="81" s="1"/>
  <c r="G31" i="81" s="1"/>
  <c r="G33" i="81" s="1"/>
  <c r="C42" i="184" s="1"/>
  <c r="G14" i="191"/>
  <c r="G15" i="191" s="1"/>
  <c r="G16" i="191" s="1"/>
  <c r="G17" i="191" s="1"/>
  <c r="G18" i="191" s="1"/>
  <c r="G19" i="191" s="1"/>
  <c r="G20" i="191" s="1"/>
  <c r="G21" i="191" s="1"/>
  <c r="G22" i="191" s="1"/>
  <c r="G23" i="191" s="1"/>
  <c r="G24" i="191" s="1"/>
  <c r="G25" i="191" s="1"/>
  <c r="G26" i="191" s="1"/>
  <c r="G27" i="191" s="1"/>
  <c r="G29" i="191" s="1"/>
  <c r="C39" i="184" s="1"/>
  <c r="G14" i="230"/>
  <c r="G15" i="230" s="1"/>
  <c r="G16" i="230" s="1"/>
  <c r="G17" i="230" s="1"/>
  <c r="G18" i="230" s="1"/>
  <c r="G19" i="230" s="1"/>
  <c r="G20" i="230" s="1"/>
  <c r="G21" i="230" s="1"/>
  <c r="G22" i="230" s="1"/>
  <c r="G23" i="230" s="1"/>
  <c r="G24" i="230" s="1"/>
  <c r="G25" i="230" s="1"/>
  <c r="G26" i="230" s="1"/>
  <c r="G28" i="230" s="1"/>
  <c r="C32" i="184" s="1"/>
  <c r="G24" i="198"/>
  <c r="G25" i="198" s="1"/>
  <c r="G26" i="198" s="1"/>
  <c r="G27" i="198" s="1"/>
  <c r="G28" i="198" s="1"/>
  <c r="G30" i="198" s="1"/>
  <c r="C26" i="184" s="1"/>
  <c r="G14" i="13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1" i="13" s="1"/>
  <c r="C24" i="184" s="1"/>
  <c r="G10" i="236"/>
  <c r="G11" i="236" s="1"/>
  <c r="G12" i="236" s="1"/>
  <c r="G13" i="236" s="1"/>
  <c r="G14" i="236" s="1"/>
  <c r="G15" i="236" s="1"/>
  <c r="G16" i="236" s="1"/>
  <c r="G17" i="236" s="1"/>
  <c r="G18" i="236" s="1"/>
  <c r="G19" i="236" s="1"/>
  <c r="G20" i="236" s="1"/>
  <c r="G21" i="236" s="1"/>
  <c r="G22" i="236" s="1"/>
  <c r="G23" i="236" s="1"/>
  <c r="G25" i="236" s="1"/>
  <c r="C19" i="184" s="1"/>
  <c r="G14" i="161"/>
  <c r="G15" i="161" s="1"/>
  <c r="G16" i="161" s="1"/>
  <c r="G17" i="161" s="1"/>
  <c r="G18" i="161" s="1"/>
  <c r="G19" i="161" s="1"/>
  <c r="G20" i="161" s="1"/>
  <c r="G21" i="161" s="1"/>
  <c r="G22" i="161" s="1"/>
  <c r="G23" i="161" s="1"/>
  <c r="G24" i="161" s="1"/>
  <c r="G25" i="161" s="1"/>
  <c r="G26" i="161" s="1"/>
  <c r="G27" i="161" s="1"/>
  <c r="G28" i="161" s="1"/>
  <c r="G29" i="161" s="1"/>
  <c r="G30" i="161" s="1"/>
  <c r="G31" i="161" s="1"/>
  <c r="G32" i="161" s="1"/>
  <c r="G33" i="161" s="1"/>
  <c r="G34" i="161" s="1"/>
  <c r="G35" i="161" s="1"/>
  <c r="G36" i="161" s="1"/>
  <c r="G37" i="161" s="1"/>
  <c r="G38" i="161" s="1"/>
  <c r="G26" i="124"/>
  <c r="G27" i="124" s="1"/>
  <c r="G28" i="124" s="1"/>
  <c r="G29" i="124" s="1"/>
  <c r="G30" i="124" s="1"/>
  <c r="G31" i="124" s="1"/>
  <c r="G33" i="124" s="1"/>
  <c r="C7" i="184" s="1"/>
  <c r="G10" i="117"/>
  <c r="G11" i="117" s="1"/>
  <c r="G12" i="117" s="1"/>
  <c r="G13" i="117" s="1"/>
  <c r="G14" i="117" s="1"/>
  <c r="G15" i="117" s="1"/>
  <c r="G16" i="117" s="1"/>
  <c r="G17" i="117" s="1"/>
  <c r="G18" i="117" s="1"/>
  <c r="G19" i="117" s="1"/>
  <c r="G20" i="117" s="1"/>
  <c r="G21" i="117" s="1"/>
  <c r="G22" i="117" s="1"/>
  <c r="G23" i="117" s="1"/>
  <c r="G24" i="117" s="1"/>
  <c r="G25" i="117" s="1"/>
  <c r="G26" i="117" s="1"/>
  <c r="G27" i="117" s="1"/>
  <c r="G28" i="117" s="1"/>
  <c r="G29" i="117" s="1"/>
  <c r="G30" i="117" s="1"/>
  <c r="G18" i="14"/>
  <c r="G19" i="14" s="1"/>
  <c r="G20" i="14" s="1"/>
  <c r="G21" i="14" s="1"/>
  <c r="G22" i="14" s="1"/>
  <c r="G23" i="14" s="1"/>
  <c r="G24" i="14" s="1"/>
  <c r="G25" i="14" s="1"/>
  <c r="G26" i="14" s="1"/>
  <c r="G28" i="14" s="1"/>
  <c r="C25" i="184" s="1"/>
  <c r="G35" i="2"/>
  <c r="C18" i="184" s="1"/>
  <c r="G10" i="16"/>
  <c r="G11" i="16" s="1"/>
  <c r="G12" i="16" s="1"/>
  <c r="G13" i="16" s="1"/>
  <c r="G14" i="16" s="1"/>
  <c r="G15" i="16" s="1"/>
  <c r="G16" i="16" s="1"/>
  <c r="G17" i="16" s="1"/>
  <c r="G18" i="16" s="1"/>
  <c r="G12" i="180"/>
  <c r="G13" i="180" s="1"/>
  <c r="G14" i="180" s="1"/>
  <c r="G15" i="180" s="1"/>
  <c r="G16" i="180" s="1"/>
  <c r="G17" i="180" s="1"/>
  <c r="G18" i="180" s="1"/>
  <c r="G19" i="180" s="1"/>
  <c r="G20" i="180" s="1"/>
  <c r="G21" i="180" s="1"/>
  <c r="G22" i="180" s="1"/>
  <c r="G23" i="180" s="1"/>
  <c r="G24" i="180" s="1"/>
  <c r="G33" i="133"/>
  <c r="C36" i="184" s="1"/>
  <c r="G26" i="195"/>
  <c r="C8" i="184" s="1"/>
  <c r="G31" i="179"/>
  <c r="C28" i="184" s="1"/>
  <c r="G39" i="161" l="1"/>
  <c r="G40" i="161" s="1"/>
  <c r="G42" i="161" s="1"/>
  <c r="C14" i="184" s="1"/>
  <c r="G31" i="117"/>
  <c r="G32" i="117" s="1"/>
  <c r="G33" i="117" s="1"/>
  <c r="G34" i="117" s="1"/>
  <c r="G35" i="117" s="1"/>
  <c r="G37" i="117" s="1"/>
  <c r="C29" i="184" s="1"/>
  <c r="G19" i="16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4" i="16" s="1"/>
  <c r="C22" i="184" s="1"/>
  <c r="G25" i="180"/>
  <c r="G26" i="180" s="1"/>
  <c r="G27" i="180" s="1"/>
  <c r="G28" i="180" s="1"/>
  <c r="G29" i="180" s="1"/>
  <c r="G30" i="180" s="1"/>
  <c r="G32" i="180" s="1"/>
  <c r="C17" i="184" l="1"/>
  <c r="C52" i="184" s="1"/>
  <c r="D17" i="184" l="1"/>
  <c r="D52" i="184" s="1"/>
  <c r="B53" i="184" s="1"/>
  <c r="O9" i="180"/>
  <c r="O10" i="180" s="1"/>
  <c r="O11" i="180" s="1"/>
  <c r="O12" i="180" s="1"/>
  <c r="O13" i="180" s="1"/>
  <c r="O14" i="180" s="1"/>
  <c r="O15" i="180" s="1"/>
  <c r="O16" i="180" s="1"/>
  <c r="O17" i="180" s="1"/>
  <c r="O18" i="180" s="1"/>
  <c r="O19" i="180" s="1"/>
  <c r="O20" i="180" s="1"/>
  <c r="O21" i="180" s="1"/>
  <c r="O22" i="180" s="1"/>
  <c r="O23" i="180" s="1"/>
  <c r="O24" i="180" s="1"/>
  <c r="O25" i="180" s="1"/>
  <c r="O26" i="180" s="1"/>
  <c r="O27" i="180" s="1"/>
  <c r="O28" i="180" s="1"/>
  <c r="O29" i="180" s="1"/>
  <c r="O30" i="180" s="1"/>
  <c r="O32" i="180" s="1"/>
  <c r="E17" i="184" s="1"/>
  <c r="E52" i="184" s="1"/>
  <c r="C53" i="184" s="1"/>
  <c r="D53" i="184" l="1"/>
  <c r="E53" i="1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LEE MCEWEN</author>
  </authors>
  <commentList>
    <comment ref="N11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SANDRA LEE MCEWEN:</t>
        </r>
        <r>
          <rPr>
            <sz val="9"/>
            <color indexed="81"/>
            <rFont val="Tahoma"/>
            <family val="2"/>
          </rPr>
          <t xml:space="preserve">
The catering would have taken this to a negative balance Caedmon agreed to pay the remaining $65.53 out of fundraised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LEE MCEWEN</author>
  </authors>
  <commentList>
    <comment ref="K11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SANDRA LEE MCEWEN:</t>
        </r>
        <r>
          <rPr>
            <sz val="9"/>
            <color indexed="81"/>
            <rFont val="Tahoma"/>
            <family val="2"/>
          </rPr>
          <t xml:space="preserve">
Needs to reallocate money from event not occuring. OK'd by Ryan/ Manpreet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LEE MCEWEN</author>
  </authors>
  <commentList>
    <comment ref="N9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SANDRA LEE MCEWEN:</t>
        </r>
        <r>
          <rPr>
            <sz val="9"/>
            <color indexed="81"/>
            <rFont val="Tahoma"/>
            <family val="2"/>
          </rPr>
          <t xml:space="preserve">
$96.92 was Maximum allowed per SGA budget approval. Remaining $8.81 taken from Fundraised</t>
        </r>
      </text>
    </comment>
    <comment ref="J10" authorId="0" shapeId="0" xr:uid="{00000000-0006-0000-2800-000002000000}">
      <text>
        <r>
          <rPr>
            <b/>
            <sz val="9"/>
            <color indexed="81"/>
            <rFont val="Tahoma"/>
            <family val="2"/>
          </rPr>
          <t>SANDRA LEE MCEWEN:</t>
        </r>
        <r>
          <rPr>
            <sz val="9"/>
            <color indexed="81"/>
            <rFont val="Tahoma"/>
            <family val="2"/>
          </rPr>
          <t xml:space="preserve">
Used Chris Riegel's pcard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LEE MCEWEN</author>
  </authors>
  <commentList>
    <comment ref="C9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SANDRA LEE MCEWEN:</t>
        </r>
        <r>
          <rPr>
            <sz val="9"/>
            <color indexed="81"/>
            <rFont val="Tahoma"/>
            <family val="2"/>
          </rPr>
          <t xml:space="preserve">
=+(3.5+5)*10 AND (5*9.50)</t>
        </r>
      </text>
    </comment>
  </commentList>
</comments>
</file>

<file path=xl/sharedStrings.xml><?xml version="1.0" encoding="utf-8"?>
<sst xmlns="http://schemas.openxmlformats.org/spreadsheetml/2006/main" count="1924" uniqueCount="362">
  <si>
    <t>Source-Description</t>
  </si>
  <si>
    <t>Date</t>
  </si>
  <si>
    <t>Income</t>
  </si>
  <si>
    <t>Page Total</t>
  </si>
  <si>
    <t>Encumbrance</t>
  </si>
  <si>
    <t>Expense</t>
  </si>
  <si>
    <t>Balance</t>
  </si>
  <si>
    <t>Enc.</t>
  </si>
  <si>
    <t>Enc</t>
  </si>
  <si>
    <t>Club</t>
  </si>
  <si>
    <t>Total</t>
  </si>
  <si>
    <t>The Pennsylvania State University</t>
  </si>
  <si>
    <t>Reference Number</t>
  </si>
  <si>
    <t>Aikido</t>
  </si>
  <si>
    <t>Berks Cares</t>
  </si>
  <si>
    <t>Chamber Choir</t>
  </si>
  <si>
    <t>Christian Student Fellowship</t>
  </si>
  <si>
    <t>Entrepreneurship</t>
  </si>
  <si>
    <t>Honors</t>
  </si>
  <si>
    <t>Hotel &amp; Restaurant Society</t>
  </si>
  <si>
    <t>InterNational Klub</t>
  </si>
  <si>
    <t>Kinesiology</t>
  </si>
  <si>
    <t>Latino Unity Club</t>
  </si>
  <si>
    <t>Muslim Student Association</t>
  </si>
  <si>
    <t>Outdoors</t>
  </si>
  <si>
    <t>Ski &amp; Snowboard</t>
  </si>
  <si>
    <t>Step Team</t>
  </si>
  <si>
    <t>Society of Women Engineers</t>
  </si>
  <si>
    <t>Zumba Lions</t>
  </si>
  <si>
    <t>Accounting</t>
  </si>
  <si>
    <t>American Society of Mechanical Engineers</t>
  </si>
  <si>
    <t>Blue &amp; White Society</t>
  </si>
  <si>
    <t>Brotherhood and Sisterhood of Scholarship, Cultural Awareness and Community Service</t>
  </si>
  <si>
    <t>Black Student Union</t>
  </si>
  <si>
    <t>Biology-BioChemistry</t>
  </si>
  <si>
    <t>Pre-Medical</t>
  </si>
  <si>
    <t>Public Relations Student Society of America</t>
  </si>
  <si>
    <t>Society of Automotive Engineers: Aero</t>
  </si>
  <si>
    <t>Society of Automotive Engineers: Baja</t>
  </si>
  <si>
    <t>Agricultural &amp; Environmental</t>
  </si>
  <si>
    <t>Berks Chemical Society</t>
  </si>
  <si>
    <t>Berks Campus</t>
  </si>
  <si>
    <t>Aikido Club</t>
  </si>
  <si>
    <t>Agricultural &amp; Environmental Club</t>
  </si>
  <si>
    <t>American Society of Mechanical Engineers (ASME)</t>
  </si>
  <si>
    <t>Black Student Union (BSU)</t>
  </si>
  <si>
    <t>Biology &amp; Biochemistry Club (BBCC)</t>
  </si>
  <si>
    <t>Blue &amp; White Society (B&amp;W)</t>
  </si>
  <si>
    <t>Brotherhood and Sisterhood of Scholarship, Cultural Awareness &amp; Community Service (BSCC)</t>
  </si>
  <si>
    <t>Collegiate Association for the Research of Principles (CARP)</t>
  </si>
  <si>
    <t>Christian Student Fellowship (CSF)</t>
  </si>
  <si>
    <t>Entrepreneurship Club</t>
  </si>
  <si>
    <t>Honors Club</t>
  </si>
  <si>
    <t>Hotel and Restaurant Society (HRS)</t>
  </si>
  <si>
    <t>InterNational Klub (INK)</t>
  </si>
  <si>
    <t>Kinesiology Club</t>
  </si>
  <si>
    <t>Muslim Student Association (MSA)</t>
  </si>
  <si>
    <t>Outdoors Club</t>
  </si>
  <si>
    <t>Pre-Medical Club</t>
  </si>
  <si>
    <t>Public Relations Student Society of America (PRSSA)</t>
  </si>
  <si>
    <t>Ski &amp; Snowboard Club</t>
  </si>
  <si>
    <t>Student Occupational Therapy Association (SOTA)</t>
  </si>
  <si>
    <t>Society of Automotive Engineers: Aero Design</t>
  </si>
  <si>
    <t>Society of Automotive Engineers: Baja Design</t>
  </si>
  <si>
    <t>Penn State IFC/Panhellenic Dance Marathon (THON)</t>
  </si>
  <si>
    <t>Collegiate Association for the Research of Principles</t>
  </si>
  <si>
    <t>Student Occupational Therapy Association</t>
  </si>
  <si>
    <t>Undistributed Funds</t>
  </si>
  <si>
    <t>SAF Funds</t>
  </si>
  <si>
    <t>SGA Funds</t>
  </si>
  <si>
    <t xml:space="preserve">SGA Allocated -- Fall </t>
  </si>
  <si>
    <t>World Affairs Council Club</t>
  </si>
  <si>
    <t>SGA SAF Allocation Total</t>
  </si>
  <si>
    <t>Communication Nation</t>
  </si>
  <si>
    <t>SGA Allocated -- Spring</t>
  </si>
  <si>
    <t>Spring Allocation</t>
  </si>
  <si>
    <t>DECA</t>
  </si>
  <si>
    <t xml:space="preserve">SGA Allocated -- Spring </t>
  </si>
  <si>
    <t>HOME</t>
  </si>
  <si>
    <t>Criminal Justice</t>
  </si>
  <si>
    <t>Remaining</t>
  </si>
  <si>
    <t>Fall</t>
  </si>
  <si>
    <t>Spring</t>
  </si>
  <si>
    <t>SGA Allocated -- Fall</t>
  </si>
  <si>
    <t>Yearly Total:</t>
  </si>
  <si>
    <t>VIP Club</t>
  </si>
  <si>
    <t>Home</t>
  </si>
  <si>
    <t>Berks Democrats</t>
  </si>
  <si>
    <t>FFA</t>
  </si>
  <si>
    <t>Blue Wave</t>
  </si>
  <si>
    <t>Students for Sustainability</t>
  </si>
  <si>
    <t>Sustainability</t>
  </si>
  <si>
    <t>PSEA</t>
  </si>
  <si>
    <t>PSEA Club</t>
  </si>
  <si>
    <t>July 1, 2017 to June 30, 2018</t>
  </si>
  <si>
    <t>Yoga and Meditation Society</t>
  </si>
  <si>
    <t>Student Accounting Association</t>
  </si>
  <si>
    <t>Discount Mugs-500 frisbees  Club Rush</t>
  </si>
  <si>
    <t>Catering BBQ on 8/24</t>
  </si>
  <si>
    <t>Ice Cream Social 8/31</t>
  </si>
  <si>
    <t>Written event portfolios</t>
  </si>
  <si>
    <t>Jars for Ice Cream -Unity Day</t>
  </si>
  <si>
    <t>Enterprise-Fall Retreat 9/22-9/24</t>
  </si>
  <si>
    <t>ERS</t>
  </si>
  <si>
    <t>Latin Fest supplies 10/4</t>
  </si>
  <si>
    <t>pcard</t>
  </si>
  <si>
    <t>#20193</t>
  </si>
  <si>
    <t>Latinos United for Change (LUC)</t>
  </si>
  <si>
    <t>LUC Bingo Night 9/18 5 $10 gift cards approved for SAF funding</t>
  </si>
  <si>
    <t>#20194</t>
  </si>
  <si>
    <t>Catering - Accounting Presentation</t>
  </si>
  <si>
    <t>DECA CLA Trip to NY Regist/Hotel</t>
  </si>
  <si>
    <t>Custom Ink - Sweatshirts</t>
  </si>
  <si>
    <t>Amtrak - 13 train tkts to NY 11/9-13</t>
  </si>
  <si>
    <t xml:space="preserve"> </t>
  </si>
  <si>
    <t>Amazon - Diwali event 10/23 supplies</t>
  </si>
  <si>
    <t>Michaels -Supplies for Halloween event on 10/31</t>
  </si>
  <si>
    <t>AirFare 4 students Boston 10/6-10/8</t>
  </si>
  <si>
    <t>Punjabi Culture</t>
  </si>
  <si>
    <t>Michaels-Diwali craft supplies 10/16</t>
  </si>
  <si>
    <t>The Restaurant Store-supplies for Diwali 10/16</t>
  </si>
  <si>
    <t>Punjabi Culture Club</t>
  </si>
  <si>
    <t>Roy's pcard</t>
  </si>
  <si>
    <t>SAE International Registr</t>
  </si>
  <si>
    <t>Enhancement trip Rental property,Baltimore 11/10-12</t>
  </si>
  <si>
    <t>Teri's pcard</t>
  </si>
  <si>
    <t>Unity Day supplies</t>
  </si>
  <si>
    <t>Witching Hour, Palm Reading 10/30</t>
  </si>
  <si>
    <t>Rocket project</t>
  </si>
  <si>
    <t>G Sabo mileage to Phila Airport for PRSSA Conf 10/6-10/8</t>
  </si>
  <si>
    <t>The Restaurant Store-supplies for club mtg 10/20</t>
  </si>
  <si>
    <t>Laxmi's Indian Grill -supplies for club mtg 10/20</t>
  </si>
  <si>
    <t>#20086</t>
  </si>
  <si>
    <t>Random Act of Kindness 9/19</t>
  </si>
  <si>
    <t>#20192</t>
  </si>
  <si>
    <t>Catering-Ice Cream</t>
  </si>
  <si>
    <t>#20045</t>
  </si>
  <si>
    <t xml:space="preserve">Catering - LUC Bingo  </t>
  </si>
  <si>
    <t>#20825</t>
  </si>
  <si>
    <t>Catering-Tully's 10/23</t>
  </si>
  <si>
    <t>#20954</t>
  </si>
  <si>
    <t>Catering - Tully's - Ohio State Tailgate</t>
  </si>
  <si>
    <t>Eastern State Penitentary tkts10/27</t>
  </si>
  <si>
    <t>#20246</t>
  </si>
  <si>
    <t>Catering-Tully's  Ice Cream Social</t>
  </si>
  <si>
    <t>#20732</t>
  </si>
  <si>
    <t>Catering-Tully's Diwali Celebration</t>
  </si>
  <si>
    <t>Robotics Club</t>
  </si>
  <si>
    <t>Robotics</t>
  </si>
  <si>
    <t>Berks Theatre Society</t>
  </si>
  <si>
    <t>College Republicans</t>
  </si>
  <si>
    <t>#20886</t>
  </si>
  <si>
    <t>Catering-Tully's -Speaker at Mtg</t>
  </si>
  <si>
    <t>The Home Depot-Plant potting</t>
  </si>
  <si>
    <t>#20898</t>
  </si>
  <si>
    <t>Catering Tully's-Diwali 10/24</t>
  </si>
  <si>
    <t>#21141</t>
  </si>
  <si>
    <t>Catering - Tully's 11/3</t>
  </si>
  <si>
    <t>#21142</t>
  </si>
  <si>
    <t>Catering-Tully's 11/3 Hunger Banquet</t>
  </si>
  <si>
    <t>Wick's Aircraft &amp; Motorsports</t>
  </si>
  <si>
    <t>JEGS Race Seat Kit</t>
  </si>
  <si>
    <t xml:space="preserve">Everest Parts Supplies - Brake Kit </t>
  </si>
  <si>
    <t>Target - Halloween Event Candy</t>
  </si>
  <si>
    <t>Penn State Bookstore- giveaways during PICPA speaker</t>
  </si>
  <si>
    <t>Amazon - Steel Straws &amp; water bottles - 12/1 event</t>
  </si>
  <si>
    <t>Goggleworks Center for the Arts 4 people on 9/22</t>
  </si>
  <si>
    <t>GoSikh.com - Turbans for Sikh Day 11/28</t>
  </si>
  <si>
    <t xml:space="preserve">pcard  </t>
  </si>
  <si>
    <t>Goggleworks Center for the Arts 4 people on 11/17</t>
  </si>
  <si>
    <t xml:space="preserve">Enterprise - Austin TX 10/25-10/27 </t>
  </si>
  <si>
    <t xml:space="preserve">Parking - Austin TX 10/25-10/27 </t>
  </si>
  <si>
    <t xml:space="preserve">Pre-pd Parking - Austin TX 10/25-10/27 </t>
  </si>
  <si>
    <t xml:space="preserve">Hotel - Austin TX 10/25-10/27 </t>
  </si>
  <si>
    <t>Uber - Conf to Austin TX 10/25-10/27</t>
  </si>
  <si>
    <t xml:space="preserve">Flights - Austin TX 10/25-10/27 </t>
  </si>
  <si>
    <t>Penn State IFC/Panhellenic Dance Marathon</t>
  </si>
  <si>
    <t>Elite Coach-student to THON 2/16-2/18/18 - Bus Deposit</t>
  </si>
  <si>
    <t>Best Western-York gala</t>
  </si>
  <si>
    <t>Jaleo Group Meal Washington DC 11/12/17</t>
  </si>
  <si>
    <t>Office Operations</t>
  </si>
  <si>
    <t>Tech Worker 10/2-10/13/17</t>
  </si>
  <si>
    <t>Tech Worker 11/12-11/25/17</t>
  </si>
  <si>
    <t>#21144</t>
  </si>
  <si>
    <t>Catering-Tully's 11/6</t>
  </si>
  <si>
    <t>The Restaurant Store-raffle tkts Turban Day</t>
  </si>
  <si>
    <t>Target- giveaways for Turban Day 11/28</t>
  </si>
  <si>
    <t>Bite of Baltimore tkts 11/11</t>
  </si>
  <si>
    <t>Student Veteran Coalition Conf Regist 1/3/18</t>
  </si>
  <si>
    <t>Student Veteran Coalition</t>
  </si>
  <si>
    <t>LUC Mtg/Celebration Catering 12/4</t>
  </si>
  <si>
    <t>#21716</t>
  </si>
  <si>
    <t>#21649</t>
  </si>
  <si>
    <t>Cookie handout 12/7</t>
  </si>
  <si>
    <t>Elite Coach - Stowe VT trip Jan. 2018</t>
  </si>
  <si>
    <t>Hobbyking.com</t>
  </si>
  <si>
    <t>Aloft Hobbies</t>
  </si>
  <si>
    <t>Amazon</t>
  </si>
  <si>
    <t>Tech Worker 11/26-12/9/17</t>
  </si>
  <si>
    <t>Dollar Tree</t>
  </si>
  <si>
    <t>DIY Diwali Diyas 10/16</t>
  </si>
  <si>
    <t>Avery Brown - Engine Vibration Cntl</t>
  </si>
  <si>
    <t>Airfare to California 4/19-23/18</t>
  </si>
  <si>
    <t>ERS pcard</t>
  </si>
  <si>
    <t>Sci-Tech Society</t>
  </si>
  <si>
    <t>Student Veterans Coalition</t>
  </si>
  <si>
    <t>Fruity Chutes Inc</t>
  </si>
  <si>
    <t>Eggtimer Rocketry</t>
  </si>
  <si>
    <t>Amazon - accelerometer</t>
  </si>
  <si>
    <t>#21612</t>
  </si>
  <si>
    <t>Turban Day 11/28</t>
  </si>
  <si>
    <t>Catering-Tully's</t>
  </si>
  <si>
    <t>#21773</t>
  </si>
  <si>
    <t>Elite Coach-student to THON 2/16-2/18/18 - Bus Balance</t>
  </si>
  <si>
    <t>Kainchi -Clappers for 1/18 performance</t>
  </si>
  <si>
    <t>Catering - Ice cream Social</t>
  </si>
  <si>
    <t>Appalachia Service Project Volunteer Dept-Final Payment</t>
  </si>
  <si>
    <t>#22428</t>
  </si>
  <si>
    <t>Catering-BSU Event 1/23/18</t>
  </si>
  <si>
    <t>#22437</t>
  </si>
  <si>
    <t>Catering - Meeting at noon</t>
  </si>
  <si>
    <t>Amazon.com-Chinese New Year Celebr 2/20</t>
  </si>
  <si>
    <t>Hotel &amp; Airfare TX 1/3-7</t>
  </si>
  <si>
    <t>Enterprise -#1 Van for Spring Break trip to Jonestown VA 3/3-11/18</t>
  </si>
  <si>
    <t>Online Subscription Powtoon</t>
  </si>
  <si>
    <t>Amazon.com - Composting bins/composter for Tully's &amp; Cyber Café</t>
  </si>
  <si>
    <t>Amazon-polaroid film/mini frames for 2/14 event</t>
  </si>
  <si>
    <t>Amazon-prizes for Recycling Trivia on 2/24</t>
  </si>
  <si>
    <t>club spent?</t>
  </si>
  <si>
    <t>#22380</t>
  </si>
  <si>
    <t>Catering-Tully's 1/22 Commuter Day</t>
  </si>
  <si>
    <t>#22509</t>
  </si>
  <si>
    <t>Catering-Tully's 1/31 Speaker</t>
  </si>
  <si>
    <t>Dollar Zone - Love Games 2/13 decorations</t>
  </si>
  <si>
    <t>Michael's-Lovely Valentines 2/14</t>
  </si>
  <si>
    <t>#22812</t>
  </si>
  <si>
    <t>Catering-Berks Think Tank 1/5 part</t>
  </si>
  <si>
    <t>Jamin Levan Mileage Montage Mt 2/10</t>
  </si>
  <si>
    <t>#22878</t>
  </si>
  <si>
    <t>#22879</t>
  </si>
  <si>
    <t>Catering-Chinese New Year</t>
  </si>
  <si>
    <t>#22510</t>
  </si>
  <si>
    <t>Catering-Tully's 2/20 Speaker</t>
  </si>
  <si>
    <t>Catering-BSU Poetry Slam</t>
  </si>
  <si>
    <t>#22927</t>
  </si>
  <si>
    <t>Student Accounting Presentation 9/26</t>
  </si>
  <si>
    <t>#22524</t>
  </si>
  <si>
    <t>Catering-Tully's 2/9 Random Acts of Kindness</t>
  </si>
  <si>
    <t>Lift tickets 20x$20each, Rental 14x$15ea (split with Fundraised)</t>
  </si>
  <si>
    <t>#22972</t>
  </si>
  <si>
    <t>Catering-Rocket League 2/23</t>
  </si>
  <si>
    <t>Serena Schade - Supplies to make kites at Vasant Panchami 1/31/18</t>
  </si>
  <si>
    <t>Serena Schade - Costumes for Performances on 3/12 &amp; 4/18.</t>
  </si>
  <si>
    <t>J W Pepper &amp; Son Inc - Spring music</t>
  </si>
  <si>
    <t>#22859</t>
  </si>
  <si>
    <t>Catering-PSU Birthday Party 2/21</t>
  </si>
  <si>
    <t>Catering-Tully's 3/16 Random Acts of Kindness</t>
  </si>
  <si>
    <t>#23289</t>
  </si>
  <si>
    <t>Utsav Fashion - Indian attire for Vaisakhi Dinner 4/18</t>
  </si>
  <si>
    <t>Energy Healing event 4/18 - JeanMarie Mercier</t>
  </si>
  <si>
    <t>Valerie Cholet Yoga Instructor FA17</t>
  </si>
  <si>
    <t>The Restaurant Store-dinner supplies 3/12</t>
  </si>
  <si>
    <t>Walmart-Glow sticks &amp; balloons 3/20</t>
  </si>
  <si>
    <t>Catering-Tulley's 4/6</t>
  </si>
  <si>
    <t>#23496</t>
  </si>
  <si>
    <t>#23416</t>
  </si>
  <si>
    <t>Catering - Tully's 3/23</t>
  </si>
  <si>
    <t>#23438</t>
  </si>
  <si>
    <t>Catering-BSU Bingo 3/22</t>
  </si>
  <si>
    <t>#23491</t>
  </si>
  <si>
    <t>Punjabi Club 3/27</t>
  </si>
  <si>
    <t>Laxmi's Indian Grille deposit for 3/12</t>
  </si>
  <si>
    <t>Laxmi's Indian Grille balance for 3/12</t>
  </si>
  <si>
    <t>ers</t>
  </si>
  <si>
    <t>A time for Music &amp; Memories (Dave Stephenson)- Vaikakh Dinner on 4/18</t>
  </si>
  <si>
    <t>Apogee Components-ASME Level 1 Rocket Cert (reimb. Bret Landis)</t>
  </si>
  <si>
    <t>Apogee Components-rocket parts</t>
  </si>
  <si>
    <t xml:space="preserve">Home Depot-plastic epoxy </t>
  </si>
  <si>
    <t>Paint Brushes for World Map painting 3/27</t>
  </si>
  <si>
    <t>Prizes for Bingo 3/29</t>
  </si>
  <si>
    <t>#23710</t>
  </si>
  <si>
    <t>Aviation Society</t>
  </si>
  <si>
    <t>24hourwristbands - Lanyards for club promotion</t>
  </si>
  <si>
    <t>Reading Air Charter LLC - flight time</t>
  </si>
  <si>
    <t>#23860</t>
  </si>
  <si>
    <t>Catering-Tully's 4/25 Speaker</t>
  </si>
  <si>
    <t>#23761</t>
  </si>
  <si>
    <t>Catering-BSU Bingo 3/29</t>
  </si>
  <si>
    <t>#23728</t>
  </si>
  <si>
    <t>Catering - Ice Cream Social 4/11</t>
  </si>
  <si>
    <t>#23937</t>
  </si>
  <si>
    <t>Diabetes Awareness Day 4/23</t>
  </si>
  <si>
    <t>Amazon.com-Puppets for 4/23 event</t>
  </si>
  <si>
    <t>Quality Logo Products-Star Stress Relievers for End of Sem. Event</t>
  </si>
  <si>
    <t>Random Acts of Kindness 4/13</t>
  </si>
  <si>
    <t>Catering - Tully's bananas 4/18</t>
  </si>
  <si>
    <t>#24153</t>
  </si>
  <si>
    <t>Speedymetals-mat build motorcycle</t>
  </si>
  <si>
    <t>Bitterendchoppers-build motorcycle</t>
  </si>
  <si>
    <t>Avery Brown-motorcycle fabrication</t>
  </si>
  <si>
    <t>#24001</t>
  </si>
  <si>
    <t>Catering-Tullys Aviation Soc</t>
  </si>
  <si>
    <t>Chinese Culture Club</t>
  </si>
  <si>
    <t>#24085</t>
  </si>
  <si>
    <t>Catering-Tullys Dragon Boat Festival 4/17</t>
  </si>
  <si>
    <t>#23999</t>
  </si>
  <si>
    <t>Catering - fruit tray, water 4/17/18</t>
  </si>
  <si>
    <t>#24106</t>
  </si>
  <si>
    <t>Catering - LUC Gala 4/20</t>
  </si>
  <si>
    <t>#23987</t>
  </si>
  <si>
    <t>Catering-Interfaith Dinner 4/12</t>
  </si>
  <si>
    <t>#24086</t>
  </si>
  <si>
    <t>Catering- Tully's 4/13</t>
  </si>
  <si>
    <t>#24157</t>
  </si>
  <si>
    <t>Bingo Event #1 Student - 4/27</t>
  </si>
  <si>
    <t>#24158</t>
  </si>
  <si>
    <t>Bingo Event #1 Parent - 4/27</t>
  </si>
  <si>
    <t>Bieber Coach Bus-Chantilly, VA 4/25</t>
  </si>
  <si>
    <t>Body Zone Pool Rental for 4/27</t>
  </si>
  <si>
    <t>Amazon-Holi Event 4/25</t>
  </si>
  <si>
    <t>Catering-Holi Event 4/25</t>
  </si>
  <si>
    <t>Target-Coexist Interfaith Dinner 4/12</t>
  </si>
  <si>
    <t>PSU Bookstore-Coexist Interfaith</t>
  </si>
  <si>
    <t xml:space="preserve">Amazon-build robot </t>
  </si>
  <si>
    <t>Pitsco Tetrix</t>
  </si>
  <si>
    <t>Catering-Tullys Brownies, Cookies, Tea, Lemonade on 4/6</t>
  </si>
  <si>
    <t>Adafruit-P-channel MOSFET transitor</t>
  </si>
  <si>
    <t>Rocketarium-Aluminum Adapter building motor</t>
  </si>
  <si>
    <t>Amazon-Turbine generator</t>
  </si>
  <si>
    <t>Six Flags-tickets &amp; parking</t>
  </si>
  <si>
    <t>Mike Ruotolo-Diabetes Awareness Tie-Dying Event</t>
  </si>
  <si>
    <t>Berks Tech</t>
  </si>
  <si>
    <t>#24379</t>
  </si>
  <si>
    <t>Catering- Tully's 4/27</t>
  </si>
  <si>
    <t>Catering - Tully's 4/16 Ice Cream Social</t>
  </si>
  <si>
    <t>#24275</t>
  </si>
  <si>
    <t>Catering-Berks Think Tank 1/3 part</t>
  </si>
  <si>
    <t>Valerie Cholet, Instructor SP18</t>
  </si>
  <si>
    <t>Kale Odhner-Hotel -Rocket Project 4/22</t>
  </si>
  <si>
    <t>Jersey Ink - stickers/buttons Welcome Week &amp; Club Rush</t>
  </si>
  <si>
    <t>BJ's food for cookout 4/28 &amp; credit</t>
  </si>
  <si>
    <t>BJ's food for cookout 4/28 w/o tax</t>
  </si>
  <si>
    <t>Weis food for cookout 4/28</t>
  </si>
  <si>
    <t>Dollar Tree - supplies cookout 4/28</t>
  </si>
  <si>
    <t>Wegman's Poultry cookout 4/28</t>
  </si>
  <si>
    <t>Acacia Flower &amp; Gift - centerpieces Vaisakhi Dinner 4/18</t>
  </si>
  <si>
    <t>Dollar Zone - parts for centerpieces 4/18</t>
  </si>
  <si>
    <t>Amazon-Plant potting 4/23</t>
  </si>
  <si>
    <t>Target-Appreciation day 4/16</t>
  </si>
  <si>
    <t>Michael's-Flower potting 4/23</t>
  </si>
  <si>
    <t>Party City-Supplies for Gala 4/20</t>
  </si>
  <si>
    <t>Walmart-Glow in Dark Zumba 4/17</t>
  </si>
  <si>
    <t>Party City-Dark Zumba 4/17</t>
  </si>
  <si>
    <t>Banggood.com-build solar wing</t>
  </si>
  <si>
    <t>Ebay-build solar wing</t>
  </si>
  <si>
    <t>Hobbyking.com-build solar wing</t>
  </si>
  <si>
    <t>Mrobotics.io -build solar wing</t>
  </si>
  <si>
    <t xml:space="preserve">Amazon-Solar Wing </t>
  </si>
  <si>
    <t>Serena Schade - Vaisakhi 4/18 $72.46 &amp; Punjabi Culture Night 3/15 supplies $72.96</t>
  </si>
  <si>
    <t>Laxmi's Indian Grille 4/18 $170 Dep+$600</t>
  </si>
  <si>
    <t>Hotel Stay on 4/22 &amp; 2 rooms on 4/19-4/21</t>
  </si>
  <si>
    <t>Seminars - How to Audition 4/6, 4/20 &amp; 4/27/18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</si>
</sst>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</cellStyleXfs>
  <cellXfs count="38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0" fontId="0" fillId="0" borderId="5" xfId="0" applyBorder="1"/>
    <xf numFmtId="44" fontId="0" fillId="0" borderId="5" xfId="1" applyFont="1" applyBorder="1"/>
    <xf numFmtId="0" fontId="2" fillId="0" borderId="6" xfId="0" applyFont="1" applyBorder="1"/>
    <xf numFmtId="0" fontId="0" fillId="0" borderId="7" xfId="0" applyFill="1" applyBorder="1"/>
    <xf numFmtId="44" fontId="0" fillId="0" borderId="7" xfId="1" applyFont="1" applyBorder="1"/>
    <xf numFmtId="0" fontId="0" fillId="0" borderId="8" xfId="0" applyBorder="1"/>
    <xf numFmtId="44" fontId="0" fillId="0" borderId="8" xfId="1" applyFont="1" applyBorder="1"/>
    <xf numFmtId="44" fontId="2" fillId="0" borderId="5" xfId="1" applyFont="1" applyBorder="1"/>
    <xf numFmtId="14" fontId="0" fillId="0" borderId="10" xfId="0" applyNumberFormat="1" applyFill="1" applyBorder="1"/>
    <xf numFmtId="44" fontId="0" fillId="0" borderId="7" xfId="1" applyFont="1" applyFill="1" applyBorder="1"/>
    <xf numFmtId="0" fontId="0" fillId="0" borderId="10" xfId="0" applyFill="1" applyBorder="1"/>
    <xf numFmtId="44" fontId="0" fillId="0" borderId="12" xfId="1" applyFont="1" applyBorder="1"/>
    <xf numFmtId="44" fontId="0" fillId="0" borderId="13" xfId="1" applyFont="1" applyBorder="1"/>
    <xf numFmtId="44" fontId="0" fillId="0" borderId="8" xfId="1" applyFont="1" applyFill="1" applyBorder="1"/>
    <xf numFmtId="44" fontId="0" fillId="0" borderId="15" xfId="1" applyFont="1" applyFill="1" applyBorder="1"/>
    <xf numFmtId="44" fontId="0" fillId="0" borderId="16" xfId="1" applyFont="1" applyBorder="1"/>
    <xf numFmtId="44" fontId="0" fillId="0" borderId="18" xfId="1" applyFont="1" applyBorder="1"/>
    <xf numFmtId="14" fontId="0" fillId="0" borderId="9" xfId="0" applyNumberFormat="1" applyFill="1" applyBorder="1"/>
    <xf numFmtId="14" fontId="0" fillId="0" borderId="7" xfId="0" applyNumberFormat="1" applyFill="1" applyBorder="1"/>
    <xf numFmtId="0" fontId="0" fillId="0" borderId="8" xfId="0" applyFill="1" applyBorder="1"/>
    <xf numFmtId="44" fontId="0" fillId="0" borderId="18" xfId="1" applyFont="1" applyFill="1" applyBorder="1"/>
    <xf numFmtId="0" fontId="0" fillId="0" borderId="7" xfId="0" applyBorder="1"/>
    <xf numFmtId="44" fontId="0" fillId="0" borderId="19" xfId="1" applyFont="1" applyBorder="1"/>
    <xf numFmtId="0" fontId="0" fillId="0" borderId="10" xfId="0" applyBorder="1"/>
    <xf numFmtId="44" fontId="0" fillId="0" borderId="20" xfId="1" applyFont="1" applyBorder="1"/>
    <xf numFmtId="44" fontId="0" fillId="0" borderId="21" xfId="1" applyFont="1" applyBorder="1"/>
    <xf numFmtId="0" fontId="0" fillId="0" borderId="22" xfId="0" applyBorder="1"/>
    <xf numFmtId="44" fontId="0" fillId="0" borderId="22" xfId="1" applyFont="1" applyBorder="1"/>
    <xf numFmtId="0" fontId="0" fillId="0" borderId="23" xfId="0" applyBorder="1"/>
    <xf numFmtId="44" fontId="0" fillId="0" borderId="20" xfId="1" applyFont="1" applyFill="1" applyBorder="1"/>
    <xf numFmtId="0" fontId="0" fillId="0" borderId="23" xfId="0" applyFill="1" applyBorder="1"/>
    <xf numFmtId="0" fontId="0" fillId="0" borderId="22" xfId="0" applyFill="1" applyBorder="1"/>
    <xf numFmtId="44" fontId="0" fillId="0" borderId="22" xfId="1" applyFont="1" applyFill="1" applyBorder="1"/>
    <xf numFmtId="44" fontId="0" fillId="0" borderId="21" xfId="1" applyFont="1" applyFill="1" applyBorder="1"/>
    <xf numFmtId="0" fontId="0" fillId="0" borderId="4" xfId="0" applyFill="1" applyBorder="1"/>
    <xf numFmtId="0" fontId="0" fillId="0" borderId="0" xfId="0" applyFill="1" applyBorder="1"/>
    <xf numFmtId="0" fontId="2" fillId="0" borderId="6" xfId="0" applyFont="1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9" xfId="0" applyFill="1" applyBorder="1"/>
    <xf numFmtId="14" fontId="0" fillId="0" borderId="10" xfId="0" applyNumberFormat="1" applyBorder="1"/>
    <xf numFmtId="0" fontId="0" fillId="0" borderId="7" xfId="0" applyNumberFormat="1" applyFill="1" applyBorder="1"/>
    <xf numFmtId="0" fontId="0" fillId="0" borderId="0" xfId="0" applyFill="1"/>
    <xf numFmtId="14" fontId="0" fillId="0" borderId="7" xfId="0" applyNumberFormat="1" applyBorder="1"/>
    <xf numFmtId="0" fontId="0" fillId="0" borderId="24" xfId="0" applyFill="1" applyBorder="1"/>
    <xf numFmtId="44" fontId="0" fillId="0" borderId="16" xfId="1" applyFont="1" applyFill="1" applyBorder="1"/>
    <xf numFmtId="44" fontId="0" fillId="0" borderId="15" xfId="1" applyFont="1" applyBorder="1"/>
    <xf numFmtId="44" fontId="0" fillId="0" borderId="25" xfId="1" applyFont="1" applyFill="1" applyBorder="1"/>
    <xf numFmtId="44" fontId="2" fillId="0" borderId="7" xfId="1" applyFont="1" applyBorder="1"/>
    <xf numFmtId="44" fontId="2" fillId="0" borderId="16" xfId="1" applyFont="1" applyBorder="1"/>
    <xf numFmtId="0" fontId="0" fillId="0" borderId="19" xfId="0" applyBorder="1"/>
    <xf numFmtId="0" fontId="4" fillId="0" borderId="7" xfId="0" applyFont="1" applyFill="1" applyBorder="1"/>
    <xf numFmtId="14" fontId="2" fillId="0" borderId="10" xfId="0" applyNumberFormat="1" applyFont="1" applyFill="1" applyBorder="1"/>
    <xf numFmtId="0" fontId="0" fillId="0" borderId="7" xfId="0" applyFill="1" applyBorder="1" applyAlignment="1">
      <alignment wrapText="1"/>
    </xf>
    <xf numFmtId="44" fontId="4" fillId="0" borderId="7" xfId="1" applyFont="1" applyFill="1" applyBorder="1"/>
    <xf numFmtId="14" fontId="1" fillId="0" borderId="10" xfId="0" applyNumberFormat="1" applyFont="1" applyFill="1" applyBorder="1"/>
    <xf numFmtId="0" fontId="1" fillId="0" borderId="7" xfId="0" applyFont="1" applyFill="1" applyBorder="1"/>
    <xf numFmtId="44" fontId="1" fillId="0" borderId="7" xfId="1" applyFont="1" applyFill="1" applyBorder="1"/>
    <xf numFmtId="0" fontId="1" fillId="0" borderId="0" xfId="0" applyFont="1"/>
    <xf numFmtId="44" fontId="0" fillId="0" borderId="0" xfId="1" applyFont="1"/>
    <xf numFmtId="0" fontId="4" fillId="0" borderId="0" xfId="0" applyFont="1" applyFill="1"/>
    <xf numFmtId="14" fontId="4" fillId="0" borderId="10" xfId="0" applyNumberFormat="1" applyFont="1" applyFill="1" applyBorder="1"/>
    <xf numFmtId="14" fontId="0" fillId="0" borderId="26" xfId="0" applyNumberFormat="1" applyBorder="1"/>
    <xf numFmtId="14" fontId="0" fillId="0" borderId="19" xfId="0" applyNumberFormat="1" applyBorder="1"/>
    <xf numFmtId="14" fontId="0" fillId="0" borderId="22" xfId="0" applyNumberFormat="1" applyBorder="1"/>
    <xf numFmtId="44" fontId="6" fillId="0" borderId="7" xfId="1" applyFont="1" applyFill="1" applyBorder="1"/>
    <xf numFmtId="44" fontId="6" fillId="0" borderId="16" xfId="1" applyFont="1" applyFill="1" applyBorder="1"/>
    <xf numFmtId="44" fontId="7" fillId="0" borderId="7" xfId="1" applyFont="1" applyFill="1" applyBorder="1"/>
    <xf numFmtId="44" fontId="7" fillId="0" borderId="16" xfId="1" applyFont="1" applyFill="1" applyBorder="1"/>
    <xf numFmtId="44" fontId="2" fillId="0" borderId="5" xfId="1" applyFont="1" applyFill="1" applyBorder="1"/>
    <xf numFmtId="44" fontId="7" fillId="0" borderId="0" xfId="1" applyFont="1" applyFill="1" applyBorder="1"/>
    <xf numFmtId="44" fontId="7" fillId="0" borderId="13" xfId="1" applyFont="1" applyFill="1" applyBorder="1"/>
    <xf numFmtId="44" fontId="7" fillId="0" borderId="8" xfId="1" applyFont="1" applyFill="1" applyBorder="1"/>
    <xf numFmtId="44" fontId="7" fillId="0" borderId="15" xfId="1" applyFont="1" applyFill="1" applyBorder="1"/>
    <xf numFmtId="44" fontId="7" fillId="0" borderId="18" xfId="1" applyFont="1" applyFill="1" applyBorder="1"/>
    <xf numFmtId="44" fontId="7" fillId="0" borderId="22" xfId="1" applyFont="1" applyFill="1" applyBorder="1"/>
    <xf numFmtId="44" fontId="7" fillId="0" borderId="21" xfId="1" applyFont="1" applyFill="1" applyBorder="1"/>
    <xf numFmtId="44" fontId="7" fillId="0" borderId="5" xfId="1" applyFont="1" applyFill="1" applyBorder="1"/>
    <xf numFmtId="44" fontId="7" fillId="0" borderId="20" xfId="1" applyFont="1" applyFill="1" applyBorder="1"/>
    <xf numFmtId="0" fontId="4" fillId="0" borderId="19" xfId="0" applyFont="1" applyFill="1" applyBorder="1"/>
    <xf numFmtId="14" fontId="0" fillId="0" borderId="0" xfId="0" applyNumberFormat="1" applyFill="1"/>
    <xf numFmtId="0" fontId="4" fillId="0" borderId="0" xfId="0" applyFont="1"/>
    <xf numFmtId="44" fontId="2" fillId="0" borderId="0" xfId="1" applyFont="1" applyFill="1" applyBorder="1"/>
    <xf numFmtId="44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7" fontId="2" fillId="0" borderId="0" xfId="1" applyNumberFormat="1" applyFont="1" applyFill="1" applyBorder="1"/>
    <xf numFmtId="14" fontId="0" fillId="0" borderId="26" xfId="0" applyNumberFormat="1" applyFill="1" applyBorder="1"/>
    <xf numFmtId="44" fontId="7" fillId="0" borderId="19" xfId="1" applyFont="1" applyFill="1" applyBorder="1"/>
    <xf numFmtId="14" fontId="0" fillId="0" borderId="23" xfId="0" applyNumberFormat="1" applyFill="1" applyBorder="1"/>
    <xf numFmtId="0" fontId="11" fillId="0" borderId="0" xfId="0" applyFont="1" applyFill="1"/>
    <xf numFmtId="0" fontId="12" fillId="0" borderId="0" xfId="0" applyFont="1" applyFill="1"/>
    <xf numFmtId="44" fontId="9" fillId="0" borderId="12" xfId="1" applyFont="1" applyFill="1" applyBorder="1"/>
    <xf numFmtId="44" fontId="9" fillId="0" borderId="0" xfId="1" applyFont="1" applyFill="1" applyBorder="1"/>
    <xf numFmtId="44" fontId="9" fillId="0" borderId="13" xfId="1" applyFont="1" applyFill="1" applyBorder="1"/>
    <xf numFmtId="44" fontId="9" fillId="0" borderId="8" xfId="1" applyFont="1" applyFill="1" applyBorder="1"/>
    <xf numFmtId="44" fontId="9" fillId="0" borderId="15" xfId="1" applyFont="1" applyFill="1" applyBorder="1"/>
    <xf numFmtId="44" fontId="9" fillId="0" borderId="18" xfId="1" applyFont="1" applyFill="1" applyBorder="1"/>
    <xf numFmtId="44" fontId="9" fillId="0" borderId="7" xfId="1" applyFont="1" applyFill="1" applyBorder="1"/>
    <xf numFmtId="44" fontId="9" fillId="0" borderId="16" xfId="1" applyFont="1" applyFill="1" applyBorder="1"/>
    <xf numFmtId="44" fontId="9" fillId="0" borderId="22" xfId="1" applyFont="1" applyFill="1" applyBorder="1"/>
    <xf numFmtId="44" fontId="9" fillId="0" borderId="5" xfId="1" applyFont="1" applyFill="1" applyBorder="1"/>
    <xf numFmtId="44" fontId="9" fillId="0" borderId="20" xfId="1" applyFont="1" applyFill="1" applyBorder="1"/>
    <xf numFmtId="44" fontId="0" fillId="0" borderId="0" xfId="0" applyNumberFormat="1"/>
    <xf numFmtId="44" fontId="10" fillId="0" borderId="7" xfId="1" applyFont="1" applyFill="1" applyBorder="1"/>
    <xf numFmtId="44" fontId="10" fillId="0" borderId="16" xfId="1" applyFont="1" applyFill="1" applyBorder="1"/>
    <xf numFmtId="164" fontId="0" fillId="0" borderId="19" xfId="1" applyNumberFormat="1" applyFont="1" applyBorder="1"/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7" fontId="7" fillId="0" borderId="7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7" fontId="7" fillId="0" borderId="22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4" fontId="0" fillId="2" borderId="10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4" fontId="2" fillId="2" borderId="5" xfId="1" applyFont="1" applyFill="1" applyBorder="1" applyAlignment="1">
      <alignment vertical="center"/>
    </xf>
    <xf numFmtId="44" fontId="6" fillId="2" borderId="0" xfId="1" applyFont="1" applyFill="1" applyBorder="1" applyAlignment="1">
      <alignment vertical="center"/>
    </xf>
    <xf numFmtId="44" fontId="6" fillId="2" borderId="13" xfId="1" applyFont="1" applyFill="1" applyBorder="1" applyAlignment="1">
      <alignment vertical="center"/>
    </xf>
    <xf numFmtId="44" fontId="6" fillId="2" borderId="7" xfId="1" applyFont="1" applyFill="1" applyBorder="1" applyAlignment="1">
      <alignment vertical="center"/>
    </xf>
    <xf numFmtId="44" fontId="6" fillId="2" borderId="22" xfId="1" applyFont="1" applyFill="1" applyBorder="1" applyAlignment="1">
      <alignment vertical="center"/>
    </xf>
    <xf numFmtId="44" fontId="6" fillId="2" borderId="21" xfId="1" applyFont="1" applyFill="1" applyBorder="1" applyAlignment="1">
      <alignment vertical="center"/>
    </xf>
    <xf numFmtId="44" fontId="6" fillId="2" borderId="5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9" fillId="0" borderId="0" xfId="1" applyFont="1" applyFill="1" applyBorder="1" applyAlignment="1">
      <alignment vertical="center"/>
    </xf>
    <xf numFmtId="44" fontId="9" fillId="0" borderId="13" xfId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9" fillId="0" borderId="14" xfId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vertical="center"/>
    </xf>
    <xf numFmtId="44" fontId="9" fillId="0" borderId="8" xfId="1" applyFont="1" applyFill="1" applyBorder="1" applyAlignment="1">
      <alignment vertical="center"/>
    </xf>
    <xf numFmtId="44" fontId="9" fillId="0" borderId="15" xfId="1" applyFont="1" applyFill="1" applyBorder="1" applyAlignment="1">
      <alignment vertical="center"/>
    </xf>
    <xf numFmtId="44" fontId="9" fillId="0" borderId="18" xfId="1" applyFont="1" applyFill="1" applyBorder="1" applyAlignment="1">
      <alignment vertical="center"/>
    </xf>
    <xf numFmtId="44" fontId="9" fillId="0" borderId="7" xfId="1" applyFont="1" applyFill="1" applyBorder="1" applyAlignment="1">
      <alignment vertical="center"/>
    </xf>
    <xf numFmtId="44" fontId="9" fillId="0" borderId="16" xfId="1" applyFont="1" applyFill="1" applyBorder="1" applyAlignment="1">
      <alignment vertical="center"/>
    </xf>
    <xf numFmtId="44" fontId="9" fillId="0" borderId="20" xfId="1" applyFont="1" applyFill="1" applyBorder="1" applyAlignment="1">
      <alignment vertical="center"/>
    </xf>
    <xf numFmtId="44" fontId="9" fillId="0" borderId="22" xfId="1" applyFont="1" applyFill="1" applyBorder="1" applyAlignment="1">
      <alignment vertical="center"/>
    </xf>
    <xf numFmtId="44" fontId="9" fillId="0" borderId="21" xfId="1" applyFont="1" applyFill="1" applyBorder="1" applyAlignment="1">
      <alignment vertical="center"/>
    </xf>
    <xf numFmtId="44" fontId="2" fillId="0" borderId="5" xfId="1" applyFont="1" applyFill="1" applyBorder="1" applyAlignment="1">
      <alignment vertical="center"/>
    </xf>
    <xf numFmtId="44" fontId="9" fillId="0" borderId="5" xfId="1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44" fontId="6" fillId="0" borderId="13" xfId="1" applyFont="1" applyFill="1" applyBorder="1" applyAlignment="1">
      <alignment vertical="center"/>
    </xf>
    <xf numFmtId="44" fontId="6" fillId="0" borderId="8" xfId="1" applyFont="1" applyFill="1" applyBorder="1" applyAlignment="1">
      <alignment vertical="center"/>
    </xf>
    <xf numFmtId="44" fontId="6" fillId="0" borderId="18" xfId="1" applyFont="1" applyFill="1" applyBorder="1" applyAlignment="1">
      <alignment vertical="center"/>
    </xf>
    <xf numFmtId="44" fontId="6" fillId="0" borderId="7" xfId="1" applyFont="1" applyFill="1" applyBorder="1" applyAlignment="1">
      <alignment vertical="center"/>
    </xf>
    <xf numFmtId="44" fontId="6" fillId="0" borderId="16" xfId="1" applyFont="1" applyFill="1" applyBorder="1" applyAlignment="1">
      <alignment vertical="center"/>
    </xf>
    <xf numFmtId="44" fontId="6" fillId="0" borderId="22" xfId="1" applyFont="1" applyFill="1" applyBorder="1" applyAlignment="1">
      <alignment vertical="center"/>
    </xf>
    <xf numFmtId="44" fontId="6" fillId="0" borderId="21" xfId="1" applyFont="1" applyFill="1" applyBorder="1" applyAlignment="1">
      <alignment vertical="center"/>
    </xf>
    <xf numFmtId="44" fontId="6" fillId="0" borderId="5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Font="1" applyBorder="1" applyAlignment="1">
      <alignment vertical="center"/>
    </xf>
    <xf numFmtId="0" fontId="0" fillId="0" borderId="4" xfId="0" applyBorder="1" applyAlignment="1">
      <alignment vertical="center"/>
    </xf>
    <xf numFmtId="44" fontId="0" fillId="0" borderId="13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4" xfId="1" applyFont="1" applyFill="1" applyBorder="1" applyAlignment="1">
      <alignment horizontal="center" vertical="center"/>
    </xf>
    <xf numFmtId="44" fontId="0" fillId="0" borderId="18" xfId="1" applyFont="1" applyBorder="1" applyAlignment="1">
      <alignment vertical="center"/>
    </xf>
    <xf numFmtId="44" fontId="0" fillId="0" borderId="7" xfId="1" applyFont="1" applyFill="1" applyBorder="1" applyAlignment="1">
      <alignment vertical="center"/>
    </xf>
    <xf numFmtId="44" fontId="0" fillId="0" borderId="7" xfId="1" applyFont="1" applyBorder="1" applyAlignment="1">
      <alignment vertical="center"/>
    </xf>
    <xf numFmtId="44" fontId="0" fillId="0" borderId="16" xfId="1" applyFont="1" applyBorder="1" applyAlignment="1">
      <alignment vertical="center"/>
    </xf>
    <xf numFmtId="0" fontId="0" fillId="0" borderId="7" xfId="0" applyBorder="1" applyAlignment="1">
      <alignment vertical="center"/>
    </xf>
    <xf numFmtId="44" fontId="0" fillId="0" borderId="16" xfId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4" fontId="1" fillId="0" borderId="7" xfId="1" applyFont="1" applyFill="1" applyBorder="1" applyAlignment="1">
      <alignment vertical="center"/>
    </xf>
    <xf numFmtId="44" fontId="0" fillId="0" borderId="20" xfId="1" applyFont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12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2" fillId="0" borderId="5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10" fillId="0" borderId="7" xfId="1" applyFont="1" applyFill="1" applyBorder="1" applyAlignment="1">
      <alignment vertical="center"/>
    </xf>
    <xf numFmtId="44" fontId="10" fillId="0" borderId="16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44" fontId="10" fillId="0" borderId="18" xfId="1" applyFont="1" applyFill="1" applyBorder="1" applyAlignment="1">
      <alignment vertical="center"/>
    </xf>
    <xf numFmtId="44" fontId="2" fillId="0" borderId="7" xfId="1" applyFont="1" applyBorder="1" applyAlignment="1">
      <alignment vertical="center"/>
    </xf>
    <xf numFmtId="0" fontId="0" fillId="0" borderId="23" xfId="0" applyBorder="1" applyAlignment="1">
      <alignment vertical="center"/>
    </xf>
    <xf numFmtId="44" fontId="0" fillId="0" borderId="22" xfId="1" applyFont="1" applyBorder="1" applyAlignment="1">
      <alignment vertical="center"/>
    </xf>
    <xf numFmtId="44" fontId="0" fillId="0" borderId="21" xfId="1" applyFont="1" applyBorder="1" applyAlignment="1">
      <alignment vertical="center"/>
    </xf>
    <xf numFmtId="44" fontId="4" fillId="0" borderId="0" xfId="1" applyFont="1" applyAlignment="1">
      <alignment horizontal="center"/>
    </xf>
    <xf numFmtId="44" fontId="2" fillId="2" borderId="17" xfId="1" applyFont="1" applyFill="1" applyBorder="1" applyAlignment="1">
      <alignment vertical="center"/>
    </xf>
    <xf numFmtId="44" fontId="2" fillId="0" borderId="17" xfId="1" applyFont="1" applyFill="1" applyBorder="1" applyAlignment="1">
      <alignment vertical="center"/>
    </xf>
    <xf numFmtId="44" fontId="2" fillId="0" borderId="17" xfId="1" applyFont="1" applyBorder="1" applyAlignment="1">
      <alignment vertical="center"/>
    </xf>
    <xf numFmtId="44" fontId="2" fillId="0" borderId="17" xfId="1" applyFont="1" applyFill="1" applyBorder="1"/>
    <xf numFmtId="44" fontId="2" fillId="0" borderId="17" xfId="1" applyFont="1" applyBorder="1"/>
    <xf numFmtId="0" fontId="0" fillId="0" borderId="7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44" fontId="6" fillId="0" borderId="28" xfId="1" applyFont="1" applyFill="1" applyBorder="1" applyAlignment="1">
      <alignment horizontal="center" vertical="center"/>
    </xf>
    <xf numFmtId="44" fontId="6" fillId="0" borderId="29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44" fontId="0" fillId="0" borderId="29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14" xfId="1" applyFont="1" applyFill="1" applyBorder="1" applyAlignment="1">
      <alignment horizontal="center" vertical="center"/>
    </xf>
    <xf numFmtId="44" fontId="7" fillId="0" borderId="28" xfId="1" applyFont="1" applyFill="1" applyBorder="1" applyAlignment="1">
      <alignment horizontal="center" vertical="center"/>
    </xf>
    <xf numFmtId="44" fontId="7" fillId="0" borderId="29" xfId="1" applyFont="1" applyFill="1" applyBorder="1" applyAlignment="1">
      <alignment horizontal="center" vertical="center"/>
    </xf>
    <xf numFmtId="44" fontId="9" fillId="0" borderId="28" xfId="1" applyFont="1" applyFill="1" applyBorder="1" applyAlignment="1">
      <alignment horizontal="center" vertical="center"/>
    </xf>
    <xf numFmtId="44" fontId="9" fillId="0" borderId="29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/>
    <xf numFmtId="0" fontId="1" fillId="2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7" xfId="0" applyFont="1" applyBorder="1"/>
    <xf numFmtId="0" fontId="1" fillId="2" borderId="8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4" fontId="1" fillId="0" borderId="9" xfId="0" applyNumberFormat="1" applyFont="1" applyFill="1" applyBorder="1"/>
    <xf numFmtId="0" fontId="0" fillId="0" borderId="5" xfId="0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12" fillId="2" borderId="9" xfId="0" applyNumberFormat="1" applyFont="1" applyFill="1" applyBorder="1" applyAlignment="1">
      <alignment vertical="center"/>
    </xf>
    <xf numFmtId="44" fontId="1" fillId="2" borderId="8" xfId="1" applyFont="1" applyFill="1" applyBorder="1" applyAlignment="1">
      <alignment vertical="center"/>
    </xf>
    <xf numFmtId="44" fontId="1" fillId="2" borderId="18" xfId="1" applyFont="1" applyFill="1" applyBorder="1" applyAlignment="1">
      <alignment vertical="center"/>
    </xf>
    <xf numFmtId="44" fontId="1" fillId="0" borderId="28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4" fontId="1" fillId="0" borderId="7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164" fontId="1" fillId="0" borderId="7" xfId="1" applyNumberFormat="1" applyFont="1" applyFill="1" applyBorder="1"/>
    <xf numFmtId="44" fontId="1" fillId="0" borderId="7" xfId="1" applyNumberFormat="1" applyFont="1" applyFill="1" applyBorder="1"/>
    <xf numFmtId="44" fontId="1" fillId="0" borderId="7" xfId="1" applyFont="1" applyBorder="1"/>
    <xf numFmtId="0" fontId="1" fillId="0" borderId="19" xfId="0" applyFont="1" applyBorder="1"/>
    <xf numFmtId="14" fontId="1" fillId="0" borderId="19" xfId="0" applyNumberFormat="1" applyFont="1" applyBorder="1"/>
    <xf numFmtId="0" fontId="15" fillId="0" borderId="0" xfId="2" applyAlignment="1">
      <alignment horizontal="left"/>
    </xf>
    <xf numFmtId="0" fontId="15" fillId="0" borderId="0" xfId="2"/>
    <xf numFmtId="0" fontId="15" fillId="2" borderId="0" xfId="2" applyFill="1" applyAlignment="1">
      <alignment vertical="center"/>
    </xf>
    <xf numFmtId="44" fontId="1" fillId="2" borderId="15" xfId="1" applyFont="1" applyFill="1" applyBorder="1" applyAlignment="1">
      <alignment vertical="center"/>
    </xf>
    <xf numFmtId="14" fontId="1" fillId="2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7" fontId="2" fillId="0" borderId="31" xfId="1" applyNumberFormat="1" applyFont="1" applyFill="1" applyBorder="1" applyAlignment="1">
      <alignment vertical="center"/>
    </xf>
    <xf numFmtId="44" fontId="7" fillId="0" borderId="31" xfId="1" applyFont="1" applyFill="1" applyBorder="1" applyAlignment="1">
      <alignment vertical="center"/>
    </xf>
    <xf numFmtId="44" fontId="7" fillId="0" borderId="32" xfId="1" applyFont="1" applyFill="1" applyBorder="1" applyAlignment="1">
      <alignment vertical="center"/>
    </xf>
    <xf numFmtId="0" fontId="15" fillId="2" borderId="0" xfId="2" applyFill="1" applyAlignment="1">
      <alignment horizontal="center" vertical="center"/>
    </xf>
    <xf numFmtId="0" fontId="0" fillId="0" borderId="26" xfId="0" applyFill="1" applyBorder="1" applyAlignment="1">
      <alignment vertical="center"/>
    </xf>
    <xf numFmtId="7" fontId="7" fillId="0" borderId="19" xfId="1" applyNumberFormat="1" applyFont="1" applyFill="1" applyBorder="1" applyAlignment="1">
      <alignment vertical="center"/>
    </xf>
    <xf numFmtId="14" fontId="12" fillId="0" borderId="9" xfId="0" applyNumberFormat="1" applyFont="1" applyFill="1" applyBorder="1" applyAlignment="1">
      <alignment vertical="center"/>
    </xf>
    <xf numFmtId="44" fontId="1" fillId="0" borderId="8" xfId="1" applyFont="1" applyFill="1" applyBorder="1" applyAlignment="1">
      <alignment vertical="center"/>
    </xf>
    <xf numFmtId="44" fontId="1" fillId="0" borderId="18" xfId="1" applyFont="1" applyFill="1" applyBorder="1" applyAlignment="1">
      <alignment vertical="center"/>
    </xf>
    <xf numFmtId="44" fontId="1" fillId="0" borderId="20" xfId="1" applyFont="1" applyFill="1" applyBorder="1" applyAlignment="1">
      <alignment vertical="center"/>
    </xf>
    <xf numFmtId="44" fontId="6" fillId="0" borderId="20" xfId="1" applyFont="1" applyFill="1" applyBorder="1" applyAlignment="1">
      <alignment vertical="center"/>
    </xf>
    <xf numFmtId="44" fontId="0" fillId="0" borderId="0" xfId="1" applyFont="1" applyFill="1" applyAlignment="1">
      <alignment vertical="center"/>
    </xf>
    <xf numFmtId="14" fontId="0" fillId="0" borderId="23" xfId="0" applyNumberFormat="1" applyBorder="1"/>
    <xf numFmtId="0" fontId="15" fillId="0" borderId="0" xfId="2" applyFill="1" applyAlignment="1">
      <alignment horizontal="center" vertical="center"/>
    </xf>
    <xf numFmtId="7" fontId="1" fillId="0" borderId="18" xfId="1" applyNumberFormat="1" applyFont="1" applyFill="1" applyBorder="1" applyAlignment="1">
      <alignment vertical="center"/>
    </xf>
    <xf numFmtId="44" fontId="1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0" fontId="2" fillId="0" borderId="33" xfId="0" applyFont="1" applyBorder="1"/>
    <xf numFmtId="44" fontId="14" fillId="0" borderId="0" xfId="1" applyFont="1" applyAlignment="1">
      <alignment horizontal="center"/>
    </xf>
    <xf numFmtId="44" fontId="8" fillId="0" borderId="33" xfId="1" applyFont="1" applyBorder="1" applyAlignment="1">
      <alignment horizontal="center"/>
    </xf>
    <xf numFmtId="0" fontId="15" fillId="0" borderId="0" xfId="2" applyFill="1" applyAlignment="1">
      <alignment vertical="center"/>
    </xf>
    <xf numFmtId="0" fontId="1" fillId="0" borderId="7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right" vertical="center"/>
    </xf>
    <xf numFmtId="44" fontId="1" fillId="0" borderId="16" xfId="1" applyFont="1" applyFill="1" applyBorder="1" applyAlignment="1">
      <alignment vertical="center"/>
    </xf>
    <xf numFmtId="44" fontId="1" fillId="0" borderId="16" xfId="1" applyFont="1" applyBorder="1"/>
    <xf numFmtId="44" fontId="1" fillId="0" borderId="16" xfId="1" applyFont="1" applyFill="1" applyBorder="1"/>
    <xf numFmtId="14" fontId="1" fillId="0" borderId="9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vertical="center"/>
    </xf>
    <xf numFmtId="0" fontId="15" fillId="0" borderId="0" xfId="2" applyFill="1"/>
    <xf numFmtId="44" fontId="2" fillId="0" borderId="33" xfId="1" applyFont="1" applyFill="1" applyBorder="1"/>
    <xf numFmtId="0" fontId="15" fillId="0" borderId="0" xfId="2" applyAlignment="1">
      <alignment wrapText="1"/>
    </xf>
    <xf numFmtId="44" fontId="6" fillId="0" borderId="15" xfId="1" applyFont="1" applyFill="1" applyBorder="1" applyAlignment="1">
      <alignment vertical="center"/>
    </xf>
    <xf numFmtId="0" fontId="0" fillId="0" borderId="7" xfId="0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5" borderId="7" xfId="0" applyFill="1" applyBorder="1"/>
    <xf numFmtId="44" fontId="0" fillId="5" borderId="7" xfId="1" applyFont="1" applyFill="1" applyBorder="1"/>
    <xf numFmtId="14" fontId="1" fillId="0" borderId="7" xfId="3" applyNumberFormat="1" applyFont="1" applyFill="1" applyBorder="1"/>
    <xf numFmtId="0" fontId="1" fillId="0" borderId="7" xfId="3" applyFill="1" applyBorder="1" applyAlignment="1">
      <alignment wrapText="1"/>
    </xf>
    <xf numFmtId="0" fontId="1" fillId="0" borderId="0" xfId="0" applyFont="1" applyFill="1" applyBorder="1"/>
    <xf numFmtId="14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7" xfId="0" applyFill="1" applyBorder="1" applyAlignment="1"/>
    <xf numFmtId="0" fontId="0" fillId="0" borderId="27" xfId="0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44" fontId="0" fillId="0" borderId="35" xfId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vertical="center"/>
    </xf>
    <xf numFmtId="7" fontId="2" fillId="0" borderId="0" xfId="1" applyNumberFormat="1" applyFont="1" applyFill="1" applyBorder="1" applyAlignment="1">
      <alignment vertical="center"/>
    </xf>
    <xf numFmtId="8" fontId="0" fillId="0" borderId="7" xfId="1" applyNumberFormat="1" applyFont="1" applyBorder="1"/>
    <xf numFmtId="0" fontId="0" fillId="0" borderId="7" xfId="0" applyFill="1" applyBorder="1" applyAlignment="1">
      <alignment horizontal="left"/>
    </xf>
    <xf numFmtId="0" fontId="0" fillId="2" borderId="7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44" fontId="4" fillId="3" borderId="12" xfId="1" applyFont="1" applyFill="1" applyBorder="1" applyAlignment="1">
      <alignment horizontal="center" vertical="center"/>
    </xf>
    <xf numFmtId="44" fontId="1" fillId="3" borderId="4" xfId="1" applyFont="1" applyFill="1" applyBorder="1" applyAlignment="1">
      <alignment horizontal="center" vertical="center"/>
    </xf>
    <xf numFmtId="44" fontId="1" fillId="3" borderId="0" xfId="1" applyFont="1" applyFill="1" applyBorder="1" applyAlignment="1">
      <alignment horizontal="center" vertical="center"/>
    </xf>
    <xf numFmtId="44" fontId="1" fillId="3" borderId="13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 vertical="center"/>
    </xf>
    <xf numFmtId="44" fontId="4" fillId="3" borderId="13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0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44" fontId="3" fillId="3" borderId="4" xfId="1" applyFont="1" applyFill="1" applyBorder="1" applyAlignment="1">
      <alignment horizontal="center" vertical="center" wrapText="1"/>
    </xf>
    <xf numFmtId="44" fontId="3" fillId="3" borderId="0" xfId="1" applyFont="1" applyFill="1" applyBorder="1" applyAlignment="1">
      <alignment horizontal="center" vertical="center" wrapText="1"/>
    </xf>
    <xf numFmtId="44" fontId="3" fillId="3" borderId="13" xfId="1" applyFont="1" applyFill="1" applyBorder="1" applyAlignment="1">
      <alignment horizontal="center" vertical="center" wrapText="1"/>
    </xf>
    <xf numFmtId="44" fontId="14" fillId="3" borderId="4" xfId="1" applyFont="1" applyFill="1" applyBorder="1" applyAlignment="1">
      <alignment horizontal="center" vertical="center"/>
    </xf>
    <xf numFmtId="44" fontId="14" fillId="3" borderId="0" xfId="1" applyFont="1" applyFill="1" applyBorder="1" applyAlignment="1">
      <alignment horizontal="center" vertical="center"/>
    </xf>
    <xf numFmtId="44" fontId="14" fillId="3" borderId="13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54"/>
  <sheetViews>
    <sheetView zoomScaleNormal="100" workbookViewId="0">
      <selection activeCell="A11" sqref="A11"/>
    </sheetView>
  </sheetViews>
  <sheetFormatPr defaultRowHeight="12.75" x14ac:dyDescent="0.2"/>
  <cols>
    <col min="1" max="1" width="44.5703125" customWidth="1"/>
    <col min="2" max="3" width="18.7109375" style="65" customWidth="1"/>
    <col min="4" max="4" width="20.85546875" style="65" customWidth="1"/>
    <col min="5" max="5" width="15.85546875" style="66" bestFit="1" customWidth="1"/>
    <col min="6" max="6" width="15.85546875" style="66" customWidth="1"/>
    <col min="7" max="7" width="35" style="66" bestFit="1" customWidth="1"/>
    <col min="8" max="8" width="11.28515625" bestFit="1" customWidth="1"/>
  </cols>
  <sheetData>
    <row r="1" spans="1:7" ht="18" x14ac:dyDescent="0.25">
      <c r="A1" s="91" t="s">
        <v>9</v>
      </c>
      <c r="B1" s="91" t="s">
        <v>81</v>
      </c>
      <c r="C1" s="91" t="s">
        <v>80</v>
      </c>
      <c r="D1" s="91" t="s">
        <v>82</v>
      </c>
      <c r="E1" s="90" t="s">
        <v>80</v>
      </c>
      <c r="F1" s="90"/>
      <c r="G1" s="90"/>
    </row>
    <row r="2" spans="1:7" ht="18.75" thickBot="1" x14ac:dyDescent="0.3">
      <c r="A2" s="280" t="s">
        <v>29</v>
      </c>
      <c r="B2" s="89">
        <f>Accounting!G8</f>
        <v>675.37</v>
      </c>
      <c r="C2" s="89">
        <f>Accounting!G30</f>
        <v>184.16000000000003</v>
      </c>
      <c r="D2" s="89">
        <f>Accounting!O8</f>
        <v>1944.38</v>
      </c>
      <c r="E2" s="89">
        <f>Accounting!O30</f>
        <v>1417.6999999999998</v>
      </c>
      <c r="F2" s="90"/>
      <c r="G2" s="308" t="s">
        <v>72</v>
      </c>
    </row>
    <row r="3" spans="1:7" ht="13.5" customHeight="1" thickTop="1" x14ac:dyDescent="0.25">
      <c r="A3" s="281" t="s">
        <v>39</v>
      </c>
      <c r="B3" s="89">
        <f>AG!G8</f>
        <v>0</v>
      </c>
      <c r="C3" s="89">
        <f>AG!G15</f>
        <v>0</v>
      </c>
      <c r="D3" s="89">
        <f>AG!O8</f>
        <v>0</v>
      </c>
      <c r="E3" s="89">
        <f>AG!O15</f>
        <v>0</v>
      </c>
      <c r="F3" s="90"/>
    </row>
    <row r="4" spans="1:7" ht="12.75" customHeight="1" x14ac:dyDescent="0.25">
      <c r="A4" s="281" t="s">
        <v>13</v>
      </c>
      <c r="B4" s="89">
        <f>Aikido!G8</f>
        <v>0</v>
      </c>
      <c r="C4" s="89">
        <f>Aikido!G22</f>
        <v>0</v>
      </c>
      <c r="D4" s="89">
        <f>Aikido!O8</f>
        <v>0</v>
      </c>
      <c r="E4" s="89">
        <f>Aikido!O22</f>
        <v>0</v>
      </c>
      <c r="F4" s="207"/>
      <c r="G4" s="307"/>
    </row>
    <row r="5" spans="1:7" x14ac:dyDescent="0.2">
      <c r="A5" s="281" t="s">
        <v>30</v>
      </c>
      <c r="B5" s="89">
        <f>ASME!G8</f>
        <v>3880</v>
      </c>
      <c r="C5" s="89">
        <f>ASME!G30</f>
        <v>453.4200000000003</v>
      </c>
      <c r="D5" s="89">
        <f>ASME!O8</f>
        <v>3457.53</v>
      </c>
      <c r="E5" s="89">
        <f>ASME!O30</f>
        <v>316.24000000000041</v>
      </c>
      <c r="F5" s="89"/>
      <c r="G5" s="89"/>
    </row>
    <row r="6" spans="1:7" x14ac:dyDescent="0.2">
      <c r="A6" s="281" t="s">
        <v>281</v>
      </c>
      <c r="D6" s="346">
        <f>Aviation!O8</f>
        <v>1357.15</v>
      </c>
      <c r="E6" s="89">
        <f>Aviation!O15</f>
        <v>308.5300000000002</v>
      </c>
      <c r="F6" s="89"/>
      <c r="G6" s="89"/>
    </row>
    <row r="7" spans="1:7" x14ac:dyDescent="0.2">
      <c r="A7" s="281" t="s">
        <v>14</v>
      </c>
      <c r="B7" s="89">
        <f>'Berks Cares'!G8</f>
        <v>1286.8699999999999</v>
      </c>
      <c r="C7" s="89">
        <f>'Berks Cares'!G33</f>
        <v>338.26999999999975</v>
      </c>
      <c r="D7" s="89">
        <f>'Berks Cares'!O8</f>
        <v>758.91</v>
      </c>
      <c r="E7" s="89">
        <f>'Berks Cares'!O33</f>
        <v>72.809999999999988</v>
      </c>
      <c r="F7" s="92"/>
      <c r="G7" s="89"/>
    </row>
    <row r="8" spans="1:7" x14ac:dyDescent="0.2">
      <c r="A8" s="281" t="s">
        <v>40</v>
      </c>
      <c r="B8" s="89">
        <f>'Bks Chemical Society'!G8</f>
        <v>0</v>
      </c>
      <c r="C8" s="89">
        <f>'Bks Chemical Society'!G26</f>
        <v>0</v>
      </c>
      <c r="D8" s="89">
        <f>'Bks Chemical Society'!O8</f>
        <v>1672.42</v>
      </c>
      <c r="E8" s="89">
        <f>'Bks Chemical Society'!O26</f>
        <v>1672.42</v>
      </c>
      <c r="F8" s="89"/>
      <c r="G8" s="89"/>
    </row>
    <row r="9" spans="1:7" x14ac:dyDescent="0.2">
      <c r="A9" s="281" t="s">
        <v>87</v>
      </c>
      <c r="B9" s="89">
        <f>'Berks Democrats'!G8</f>
        <v>0</v>
      </c>
      <c r="C9" s="89">
        <f>'Berks Democrats'!G26</f>
        <v>0</v>
      </c>
      <c r="D9" s="89">
        <f>'Berks Democrats'!O8</f>
        <v>0</v>
      </c>
      <c r="E9" s="89">
        <f>'Berks Democrats'!O26</f>
        <v>0</v>
      </c>
      <c r="F9" s="89"/>
      <c r="G9" s="89"/>
    </row>
    <row r="10" spans="1:7" x14ac:dyDescent="0.2">
      <c r="A10" s="281" t="s">
        <v>331</v>
      </c>
      <c r="B10" s="89"/>
      <c r="C10" s="89"/>
      <c r="D10" s="89">
        <v>906.35</v>
      </c>
      <c r="E10" s="89">
        <v>688.81</v>
      </c>
      <c r="F10" s="89"/>
      <c r="G10" s="89"/>
    </row>
    <row r="11" spans="1:7" x14ac:dyDescent="0.2">
      <c r="A11" s="281" t="s">
        <v>149</v>
      </c>
      <c r="B11" s="89"/>
      <c r="C11" s="89"/>
      <c r="D11" s="89">
        <f>'Berks Theatre'!$O$8</f>
        <v>2000</v>
      </c>
      <c r="E11" s="89">
        <f>'Berks Theatre'!$O$26</f>
        <v>1100</v>
      </c>
      <c r="F11" s="89"/>
      <c r="G11" s="89"/>
    </row>
    <row r="12" spans="1:7" x14ac:dyDescent="0.2">
      <c r="A12" s="281" t="s">
        <v>34</v>
      </c>
      <c r="B12" s="89">
        <f>'Bio-BioChem'!G8</f>
        <v>2392.9</v>
      </c>
      <c r="C12" s="89">
        <f>'Bio-BioChem'!G38</f>
        <v>2392.9</v>
      </c>
      <c r="D12" s="89">
        <f>'Bio-BioChem'!O8</f>
        <v>125.38</v>
      </c>
      <c r="E12" s="89">
        <f>'Bio-BioChem'!O38</f>
        <v>125.38</v>
      </c>
      <c r="F12" s="89"/>
      <c r="G12" s="89"/>
    </row>
    <row r="13" spans="1:7" x14ac:dyDescent="0.2">
      <c r="A13" s="281" t="s">
        <v>33</v>
      </c>
      <c r="B13" s="89">
        <f>BSU!G8</f>
        <v>0</v>
      </c>
      <c r="C13" s="89">
        <f>BSU!G30</f>
        <v>0</v>
      </c>
      <c r="D13" s="89">
        <f>BSU!O8</f>
        <v>1941.78</v>
      </c>
      <c r="E13" s="89">
        <f>BSU!O30</f>
        <v>270.76</v>
      </c>
      <c r="F13" s="89"/>
      <c r="G13" s="89"/>
    </row>
    <row r="14" spans="1:7" x14ac:dyDescent="0.2">
      <c r="A14" s="281" t="s">
        <v>31</v>
      </c>
      <c r="B14" s="89">
        <f>'B&amp;W Society'!G8</f>
        <v>1901.73</v>
      </c>
      <c r="C14" s="89">
        <f>'B&amp;W Society'!G42</f>
        <v>1716.98</v>
      </c>
      <c r="D14" s="89">
        <f>'B&amp;W Society'!O8</f>
        <v>231</v>
      </c>
      <c r="E14" s="89">
        <f>'B&amp;W Society'!O42</f>
        <v>8.8100000000000023</v>
      </c>
      <c r="F14" s="89"/>
      <c r="G14" s="89"/>
    </row>
    <row r="15" spans="1:7" ht="25.5" x14ac:dyDescent="0.2">
      <c r="A15" s="319" t="s">
        <v>32</v>
      </c>
      <c r="B15" s="89">
        <f>B.S.C.C!G8</f>
        <v>0</v>
      </c>
      <c r="C15" s="89">
        <f>B.S.C.C!G26</f>
        <v>0</v>
      </c>
      <c r="D15" s="89">
        <f>B.S.C.C!O8</f>
        <v>0</v>
      </c>
      <c r="E15" s="89">
        <f>B.S.C.C!O26</f>
        <v>0</v>
      </c>
      <c r="G15" s="89"/>
    </row>
    <row r="16" spans="1:7" x14ac:dyDescent="0.2">
      <c r="A16" s="281" t="s">
        <v>65</v>
      </c>
      <c r="B16" s="89">
        <f>CARP!G8</f>
        <v>0</v>
      </c>
      <c r="C16" s="89">
        <f>CARP!G29</f>
        <v>0</v>
      </c>
      <c r="D16" s="89">
        <f>CARP!O8</f>
        <v>0</v>
      </c>
      <c r="E16" s="89">
        <f>CARP!O29</f>
        <v>0</v>
      </c>
      <c r="F16" s="89"/>
      <c r="G16" s="89"/>
    </row>
    <row r="17" spans="1:7" x14ac:dyDescent="0.2">
      <c r="A17" s="281" t="s">
        <v>15</v>
      </c>
      <c r="B17" s="89">
        <f>'Chamber Choir'!G8</f>
        <v>0</v>
      </c>
      <c r="C17" s="89">
        <f>'Chamber Choir'!G32</f>
        <v>0</v>
      </c>
      <c r="D17" s="89">
        <f>'Chamber Choir'!O8</f>
        <v>1208.71</v>
      </c>
      <c r="E17" s="89">
        <f>'Chamber Choir'!O32</f>
        <v>821.18000000000006</v>
      </c>
      <c r="F17" s="89"/>
      <c r="G17" s="89"/>
    </row>
    <row r="18" spans="1:7" x14ac:dyDescent="0.2">
      <c r="A18" s="281" t="s">
        <v>16</v>
      </c>
      <c r="B18" s="89">
        <f>CSF!G8</f>
        <v>1480.09</v>
      </c>
      <c r="C18" s="89">
        <f>CSF!G35</f>
        <v>369.86999999999989</v>
      </c>
      <c r="D18" s="89">
        <f>CSF!O8</f>
        <v>1979.92</v>
      </c>
      <c r="E18" s="89">
        <f>CSF!O35</f>
        <v>1.1368683772161603E-13</v>
      </c>
      <c r="F18" s="89"/>
      <c r="G18" s="89"/>
    </row>
    <row r="19" spans="1:7" x14ac:dyDescent="0.2">
      <c r="A19" s="281" t="s">
        <v>150</v>
      </c>
      <c r="B19" s="89">
        <f>'College Republicans'!G8</f>
        <v>599.42999999999995</v>
      </c>
      <c r="C19" s="89">
        <f>'College Republicans'!G25</f>
        <v>54.299999999999955</v>
      </c>
      <c r="D19" s="89">
        <f>'College Republicans'!O8</f>
        <v>1125.3800000000001</v>
      </c>
      <c r="E19" s="89">
        <f>'College Republicans'!O25</f>
        <v>370.13000000000011</v>
      </c>
      <c r="F19" s="89"/>
      <c r="G19" s="89"/>
    </row>
    <row r="20" spans="1:7" x14ac:dyDescent="0.2">
      <c r="A20" s="281" t="s">
        <v>73</v>
      </c>
      <c r="B20" s="89">
        <f>'Comm. Nation'!G8</f>
        <v>42.5</v>
      </c>
      <c r="C20" s="89">
        <f>'Comm. Nation'!G33</f>
        <v>42.5</v>
      </c>
      <c r="D20" s="89">
        <f>'Comm. Nation'!O8</f>
        <v>0</v>
      </c>
      <c r="E20" s="89">
        <f>'Comm. Nation'!O33</f>
        <v>0</v>
      </c>
      <c r="F20" s="89"/>
      <c r="G20" s="89"/>
    </row>
    <row r="21" spans="1:7" x14ac:dyDescent="0.2">
      <c r="A21" s="281" t="s">
        <v>79</v>
      </c>
      <c r="B21" s="89">
        <f>'Criminal Justice'!G8</f>
        <v>1414.95</v>
      </c>
      <c r="C21" s="89">
        <f>'Criminal Justice'!G28</f>
        <v>1414.95</v>
      </c>
      <c r="D21" s="89">
        <f>'Criminal Justice'!O8</f>
        <v>79.95</v>
      </c>
      <c r="E21" s="89">
        <f>'Criminal Justice'!O28</f>
        <v>79.95</v>
      </c>
      <c r="F21" s="89"/>
      <c r="G21" s="89"/>
    </row>
    <row r="22" spans="1:7" x14ac:dyDescent="0.2">
      <c r="A22" s="281" t="s">
        <v>76</v>
      </c>
      <c r="B22" s="89">
        <f>DECA!G8</f>
        <v>3269.25</v>
      </c>
      <c r="C22" s="89">
        <f>DECA!G34</f>
        <v>22.22</v>
      </c>
      <c r="D22" s="89">
        <f>DECA!O8</f>
        <v>2030</v>
      </c>
      <c r="E22" s="89">
        <f>DECA!O34</f>
        <v>1414.86</v>
      </c>
      <c r="F22" s="89"/>
      <c r="G22" s="89"/>
    </row>
    <row r="23" spans="1:7" x14ac:dyDescent="0.2">
      <c r="A23" s="281" t="s">
        <v>17</v>
      </c>
      <c r="B23" s="89">
        <f>Entrepreneur!G8</f>
        <v>225.9</v>
      </c>
      <c r="C23" s="89">
        <f>Entrepreneur!G23</f>
        <v>225.9</v>
      </c>
      <c r="D23" s="89">
        <f>Entrepreneur!O8</f>
        <v>466.47</v>
      </c>
      <c r="E23" s="89">
        <f>Entrepreneur!O23</f>
        <v>466.47</v>
      </c>
      <c r="F23" s="89"/>
      <c r="G23" s="89"/>
    </row>
    <row r="24" spans="1:7" x14ac:dyDescent="0.2">
      <c r="A24" s="281" t="s">
        <v>18</v>
      </c>
      <c r="B24" s="89">
        <f>HONORS!G8</f>
        <v>3600</v>
      </c>
      <c r="C24" s="89">
        <f>HONORS!G31</f>
        <v>3600</v>
      </c>
      <c r="D24" s="89">
        <f>HONORS!O8</f>
        <v>1225</v>
      </c>
      <c r="E24" s="89">
        <f>HONORS!O31</f>
        <v>1225</v>
      </c>
      <c r="F24" s="89"/>
      <c r="G24" s="89"/>
    </row>
    <row r="25" spans="1:7" x14ac:dyDescent="0.2">
      <c r="A25" s="281" t="s">
        <v>19</v>
      </c>
      <c r="B25" s="89">
        <f>HRS!G8</f>
        <v>2061.54</v>
      </c>
      <c r="C25" s="89">
        <f>HRS!G28</f>
        <v>441.70999999999992</v>
      </c>
      <c r="D25" s="89">
        <f>HRS!O8</f>
        <v>806</v>
      </c>
      <c r="E25" s="89">
        <f>HRS!O28</f>
        <v>806</v>
      </c>
      <c r="F25" s="89"/>
      <c r="G25" s="89"/>
    </row>
    <row r="26" spans="1:7" x14ac:dyDescent="0.2">
      <c r="A26" s="281" t="s">
        <v>20</v>
      </c>
      <c r="B26" s="89">
        <f>INK!G8</f>
        <v>840.53</v>
      </c>
      <c r="C26" s="89">
        <f>INK!G30</f>
        <v>28.210000000000036</v>
      </c>
      <c r="D26" s="89">
        <f>INK!O8</f>
        <v>2199.2600000000002</v>
      </c>
      <c r="E26" s="89">
        <f>INK!O30</f>
        <v>225.95000000000005</v>
      </c>
      <c r="F26" s="89"/>
      <c r="G26" s="89"/>
    </row>
    <row r="27" spans="1:7" x14ac:dyDescent="0.2">
      <c r="A27" s="281" t="s">
        <v>21</v>
      </c>
      <c r="B27" s="89">
        <f>Kines!G8</f>
        <v>596</v>
      </c>
      <c r="C27" s="89">
        <f>Kines!G31</f>
        <v>596</v>
      </c>
      <c r="D27" s="89">
        <f>Kines!O8</f>
        <v>376</v>
      </c>
      <c r="E27" s="89">
        <f>Kines!O31</f>
        <v>376</v>
      </c>
      <c r="F27" s="89"/>
      <c r="G27" s="89"/>
    </row>
    <row r="28" spans="1:7" x14ac:dyDescent="0.2">
      <c r="A28" s="281" t="s">
        <v>22</v>
      </c>
      <c r="B28" s="89">
        <f>LUC!G8</f>
        <v>1109.52</v>
      </c>
      <c r="C28" s="89">
        <f>LUC!G31</f>
        <v>668.01</v>
      </c>
      <c r="D28" s="89">
        <f>LUC!O8</f>
        <v>1744.56</v>
      </c>
      <c r="E28" s="89">
        <f>LUC!O31</f>
        <v>549.61</v>
      </c>
      <c r="F28" s="89"/>
      <c r="G28" s="89"/>
    </row>
    <row r="29" spans="1:7" x14ac:dyDescent="0.2">
      <c r="A29" s="281" t="s">
        <v>23</v>
      </c>
      <c r="B29" s="89">
        <f>MSA!G8</f>
        <v>2401.5</v>
      </c>
      <c r="C29" s="89">
        <f>MSA!G37</f>
        <v>1496.12</v>
      </c>
      <c r="D29" s="89">
        <f>MSA!O8</f>
        <v>2994.19</v>
      </c>
      <c r="E29" s="89">
        <f>MSA!O37</f>
        <v>552.90999999999985</v>
      </c>
      <c r="F29" s="89"/>
      <c r="G29" s="89"/>
    </row>
    <row r="30" spans="1:7" x14ac:dyDescent="0.2">
      <c r="A30" s="281" t="s">
        <v>24</v>
      </c>
      <c r="B30" s="89">
        <f>Outdoors!G8</f>
        <v>0</v>
      </c>
      <c r="C30" s="89">
        <f>Outdoors!G30</f>
        <v>0</v>
      </c>
      <c r="D30" s="89">
        <f>Outdoors!O8</f>
        <v>0</v>
      </c>
      <c r="E30" s="89">
        <f>Outdoors!O30</f>
        <v>0</v>
      </c>
      <c r="G30" s="89"/>
    </row>
    <row r="31" spans="1:7" x14ac:dyDescent="0.2">
      <c r="A31" s="317" t="s">
        <v>92</v>
      </c>
      <c r="B31" s="89">
        <f>PSEA!G8</f>
        <v>404.03</v>
      </c>
      <c r="C31" s="89">
        <f>PSEA!G30</f>
        <v>352.28999999999996</v>
      </c>
      <c r="D31" s="89">
        <f>PSEA!O8</f>
        <v>107.35</v>
      </c>
      <c r="E31" s="89">
        <f>PSEA!O30</f>
        <v>107.35</v>
      </c>
      <c r="G31" s="89"/>
    </row>
    <row r="32" spans="1:7" x14ac:dyDescent="0.2">
      <c r="A32" s="281" t="s">
        <v>35</v>
      </c>
      <c r="B32" s="89">
        <f>'Pre-Med'!G8</f>
        <v>2773.82</v>
      </c>
      <c r="C32" s="89">
        <f>'Pre-Med'!G28</f>
        <v>2773.82</v>
      </c>
      <c r="D32" s="89">
        <f>'Pre-Med'!O8</f>
        <v>0</v>
      </c>
      <c r="E32" s="89">
        <f>'Pre-Med'!O28</f>
        <v>0</v>
      </c>
      <c r="F32" s="89"/>
      <c r="G32" s="89"/>
    </row>
    <row r="33" spans="1:11" x14ac:dyDescent="0.2">
      <c r="A33" s="281" t="s">
        <v>118</v>
      </c>
      <c r="B33" s="89">
        <f>'Punjabi Culture'!G8</f>
        <v>1934.21</v>
      </c>
      <c r="C33" s="89">
        <f>'Punjabi Culture'!G28</f>
        <v>112.2199999999998</v>
      </c>
      <c r="D33" s="89">
        <f>'Punjabi Culture'!O8</f>
        <v>2742.58</v>
      </c>
      <c r="E33" s="89">
        <f>'Punjabi Culture'!O28</f>
        <v>46.669999999999618</v>
      </c>
      <c r="F33" s="89"/>
      <c r="G33" s="89"/>
    </row>
    <row r="34" spans="1:11" x14ac:dyDescent="0.2">
      <c r="A34" s="281" t="s">
        <v>36</v>
      </c>
      <c r="B34" s="89">
        <f>PRSSA!G8</f>
        <v>2298.1</v>
      </c>
      <c r="C34" s="89">
        <f>PRSSA!G27</f>
        <v>914.29</v>
      </c>
      <c r="D34" s="89">
        <f>PRSSA!O8</f>
        <v>247.5</v>
      </c>
      <c r="E34" s="89">
        <f>PRSSA!O27</f>
        <v>167.39999999999998</v>
      </c>
      <c r="F34" s="89"/>
      <c r="G34" s="89"/>
    </row>
    <row r="35" spans="1:11" x14ac:dyDescent="0.2">
      <c r="A35" s="281" t="s">
        <v>148</v>
      </c>
      <c r="B35" s="89">
        <f>Robotics!G8</f>
        <v>300</v>
      </c>
      <c r="C35" s="89">
        <f>Robotics!G24</f>
        <v>300</v>
      </c>
      <c r="D35" s="89">
        <f>Robotics!O8</f>
        <v>1593.95</v>
      </c>
      <c r="E35" s="89">
        <f>Robotics!O24</f>
        <v>689.8900000000001</v>
      </c>
      <c r="F35" s="89"/>
      <c r="G35" s="89"/>
    </row>
    <row r="36" spans="1:11" x14ac:dyDescent="0.2">
      <c r="A36" s="281" t="s">
        <v>25</v>
      </c>
      <c r="B36" s="89">
        <f>SKI!G8</f>
        <v>4200</v>
      </c>
      <c r="C36" s="89">
        <f>SKI!G33</f>
        <v>0</v>
      </c>
      <c r="D36" s="89">
        <f>SKI!O8</f>
        <v>1900</v>
      </c>
      <c r="E36" s="89">
        <f>SKI!O33</f>
        <v>1578.08</v>
      </c>
      <c r="F36" s="89"/>
      <c r="G36" s="89"/>
    </row>
    <row r="37" spans="1:11" x14ac:dyDescent="0.2">
      <c r="A37" s="281" t="s">
        <v>37</v>
      </c>
      <c r="B37" s="89">
        <f>'SAE Aero'!G8</f>
        <v>0</v>
      </c>
      <c r="C37" s="89">
        <f>'SAE Aero'!G29</f>
        <v>0</v>
      </c>
      <c r="D37" s="89">
        <f>'SAE Aero'!O8</f>
        <v>0</v>
      </c>
      <c r="E37" s="89">
        <f>'SAE Aero'!O29</f>
        <v>0</v>
      </c>
      <c r="F37" s="89"/>
      <c r="G37" s="89"/>
    </row>
    <row r="38" spans="1:11" x14ac:dyDescent="0.2">
      <c r="A38" s="281" t="s">
        <v>38</v>
      </c>
      <c r="B38" s="89">
        <f>'SAE Baja'!G8</f>
        <v>3936.09</v>
      </c>
      <c r="C38" s="89">
        <f>'SAE Baja'!G30</f>
        <v>860.80000000000018</v>
      </c>
      <c r="D38" s="89">
        <f>'SAE Baja'!O8</f>
        <v>1190.82</v>
      </c>
      <c r="E38" s="89">
        <f>'SAE Baja'!O30</f>
        <v>1190.82</v>
      </c>
      <c r="F38" s="89"/>
      <c r="G38" s="89"/>
    </row>
    <row r="39" spans="1:11" x14ac:dyDescent="0.2">
      <c r="A39" s="281" t="s">
        <v>27</v>
      </c>
      <c r="B39" s="89">
        <f>SWE!G8</f>
        <v>3136</v>
      </c>
      <c r="C39" s="89">
        <f>SWE!G29</f>
        <v>577.30000000000018</v>
      </c>
      <c r="D39" s="89">
        <f>SWE!O8</f>
        <v>2184.56</v>
      </c>
      <c r="E39" s="89">
        <f>SWE!O29</f>
        <v>54.400000000000091</v>
      </c>
      <c r="F39" s="89"/>
      <c r="G39" s="89"/>
    </row>
    <row r="40" spans="1:11" x14ac:dyDescent="0.2">
      <c r="A40" s="317" t="s">
        <v>204</v>
      </c>
      <c r="B40" s="89">
        <f>'Berks Tech'!G8</f>
        <v>0</v>
      </c>
      <c r="C40" s="89">
        <f>'Berks Tech'!G30</f>
        <v>0</v>
      </c>
      <c r="D40" s="89">
        <f>'Berks Tech'!O8</f>
        <v>906.35</v>
      </c>
      <c r="E40" s="89">
        <f>'Berks Tech'!O30</f>
        <v>688.81</v>
      </c>
      <c r="F40" s="89"/>
      <c r="G40" s="89"/>
    </row>
    <row r="41" spans="1:11" x14ac:dyDescent="0.2">
      <c r="A41" s="281" t="s">
        <v>26</v>
      </c>
      <c r="B41" s="89">
        <f>'STEP TEAM'!G8</f>
        <v>479.66</v>
      </c>
      <c r="C41" s="89">
        <f>'STEP TEAM'!G29</f>
        <v>347.16</v>
      </c>
      <c r="D41" s="89">
        <f>'STEP TEAM'!O8</f>
        <v>0</v>
      </c>
      <c r="E41" s="89">
        <f>'STEP TEAM'!O29</f>
        <v>0</v>
      </c>
      <c r="F41" s="89"/>
      <c r="G41" s="89"/>
    </row>
    <row r="42" spans="1:11" x14ac:dyDescent="0.2">
      <c r="A42" s="281" t="s">
        <v>66</v>
      </c>
      <c r="B42" s="89">
        <f>SOTA!G8</f>
        <v>0</v>
      </c>
      <c r="C42" s="89">
        <f>SOTA!G33</f>
        <v>0</v>
      </c>
      <c r="D42" s="89">
        <f>SOTA!O8</f>
        <v>0</v>
      </c>
      <c r="E42" s="89">
        <f>SOTA!O33</f>
        <v>0</v>
      </c>
      <c r="F42" s="89"/>
      <c r="G42" s="89"/>
      <c r="K42" s="89"/>
    </row>
    <row r="43" spans="1:11" x14ac:dyDescent="0.2">
      <c r="A43" s="281" t="s">
        <v>205</v>
      </c>
      <c r="B43" s="89"/>
      <c r="C43" s="89"/>
      <c r="D43" s="89">
        <f>SVC!O8</f>
        <v>3819.95</v>
      </c>
      <c r="E43" s="89">
        <f>SVC!$O$26</f>
        <v>949.95999999999958</v>
      </c>
      <c r="F43" s="89"/>
      <c r="G43" s="89"/>
      <c r="K43" s="89"/>
    </row>
    <row r="44" spans="1:11" x14ac:dyDescent="0.2">
      <c r="A44" s="317" t="s">
        <v>91</v>
      </c>
      <c r="B44" s="89">
        <f>Sustainability!G8</f>
        <v>670.37</v>
      </c>
      <c r="C44" s="89">
        <f>Sustainability!G26</f>
        <v>321.55000000000007</v>
      </c>
      <c r="D44" s="89">
        <f>Sustainability!O8</f>
        <v>588.44000000000005</v>
      </c>
      <c r="E44" s="89">
        <f>Sustainability!O26</f>
        <v>80.820000000000022</v>
      </c>
      <c r="F44" s="89"/>
      <c r="G44" s="89"/>
      <c r="K44" s="89"/>
    </row>
    <row r="45" spans="1:11" x14ac:dyDescent="0.2">
      <c r="A45" s="281" t="s">
        <v>176</v>
      </c>
      <c r="B45" s="89">
        <f>'THON SGA'!G8</f>
        <v>4210</v>
      </c>
      <c r="C45" s="89">
        <f>'THON SGA'!G44</f>
        <v>0</v>
      </c>
      <c r="D45" s="89">
        <f>'THON SGA'!O8</f>
        <v>0</v>
      </c>
      <c r="E45" s="89">
        <f>'THON SGA'!O44</f>
        <v>0</v>
      </c>
      <c r="F45" s="89"/>
      <c r="G45" s="89"/>
    </row>
    <row r="46" spans="1:11" x14ac:dyDescent="0.2">
      <c r="A46" s="281" t="s">
        <v>67</v>
      </c>
      <c r="B46" s="89">
        <f>'Undistributed Fund'!G8</f>
        <v>0</v>
      </c>
      <c r="C46" s="89">
        <f>'Undistributed Fund'!G31</f>
        <v>0</v>
      </c>
      <c r="D46" s="89">
        <f>'Undistributed Fund'!O8</f>
        <v>0</v>
      </c>
      <c r="E46" s="89">
        <f>'Undistributed Fund'!O31</f>
        <v>0</v>
      </c>
      <c r="F46" s="89"/>
      <c r="G46" s="89"/>
    </row>
    <row r="47" spans="1:11" x14ac:dyDescent="0.2">
      <c r="A47" s="281" t="s">
        <v>85</v>
      </c>
      <c r="B47" s="89">
        <f>VIP!G9</f>
        <v>0</v>
      </c>
      <c r="C47" s="89">
        <f>VIP!G30</f>
        <v>0</v>
      </c>
      <c r="D47" s="89">
        <f>VIP!O8</f>
        <v>93.06</v>
      </c>
      <c r="E47" s="89">
        <f>VIP!O29</f>
        <v>0</v>
      </c>
      <c r="F47" s="89"/>
      <c r="G47" s="89"/>
    </row>
    <row r="48" spans="1:11" x14ac:dyDescent="0.2">
      <c r="A48" s="281" t="s">
        <v>71</v>
      </c>
      <c r="B48" s="89">
        <f>'World Affairs'!G8</f>
        <v>1078</v>
      </c>
      <c r="C48" s="89">
        <f>'World Affairs'!G29</f>
        <v>919.24</v>
      </c>
      <c r="D48" s="89">
        <f>'World Affairs'!O8</f>
        <v>1413.03</v>
      </c>
      <c r="E48" s="89">
        <f>'World Affairs'!O29</f>
        <v>1244.9000000000001</v>
      </c>
      <c r="F48" s="89"/>
      <c r="G48" s="89"/>
    </row>
    <row r="49" spans="1:8" x14ac:dyDescent="0.2">
      <c r="A49" s="281" t="s">
        <v>95</v>
      </c>
      <c r="B49" s="89">
        <f>YAMS!G8</f>
        <v>760</v>
      </c>
      <c r="C49" s="89">
        <f>YAMS!G29</f>
        <v>0</v>
      </c>
      <c r="D49" s="89">
        <f>YAMS!$O$8</f>
        <v>701.5</v>
      </c>
      <c r="E49" s="89">
        <f>YAMS!$O$29</f>
        <v>1.5</v>
      </c>
      <c r="F49" s="89"/>
      <c r="G49" s="89"/>
    </row>
    <row r="50" spans="1:8" x14ac:dyDescent="0.2">
      <c r="A50" s="281" t="s">
        <v>28</v>
      </c>
      <c r="B50" s="89">
        <f>'Zumba Lions'!G8</f>
        <v>0</v>
      </c>
      <c r="C50" s="89">
        <f>'Zumba Lions'!G26</f>
        <v>0</v>
      </c>
      <c r="D50" s="89">
        <f>'Zumba Lions'!O8</f>
        <v>0</v>
      </c>
      <c r="E50" s="89">
        <f>'Zumba Lions'!O26</f>
        <v>0</v>
      </c>
      <c r="F50" s="89"/>
      <c r="G50" s="89"/>
    </row>
    <row r="51" spans="1:8" x14ac:dyDescent="0.2">
      <c r="B51" s="89"/>
      <c r="C51" s="89"/>
      <c r="D51" s="89"/>
      <c r="F51" s="89"/>
      <c r="G51" s="89"/>
    </row>
    <row r="52" spans="1:8" ht="13.5" thickBot="1" x14ac:dyDescent="0.25">
      <c r="A52" s="306" t="s">
        <v>10</v>
      </c>
      <c r="B52" s="318">
        <f>SUM(B2:B50)</f>
        <v>53958.360000000008</v>
      </c>
      <c r="C52" s="318">
        <f t="shared" ref="C52:E52" si="0">SUM(C2:C50)</f>
        <v>21524.190000000002</v>
      </c>
      <c r="D52" s="318">
        <f t="shared" si="0"/>
        <v>48119.429999999993</v>
      </c>
      <c r="E52" s="318">
        <f t="shared" si="0"/>
        <v>19670.120000000006</v>
      </c>
      <c r="H52" s="109"/>
    </row>
    <row r="53" spans="1:8" ht="14.25" thickTop="1" thickBot="1" x14ac:dyDescent="0.25">
      <c r="A53" s="306" t="s">
        <v>84</v>
      </c>
      <c r="B53" s="318">
        <f>B52+D52</f>
        <v>102077.79000000001</v>
      </c>
      <c r="C53" s="318">
        <f>C52+E52</f>
        <v>41194.310000000012</v>
      </c>
      <c r="D53" s="318">
        <f>B53-C53</f>
        <v>60883.479999999996</v>
      </c>
      <c r="E53" s="318">
        <f>G4-D53</f>
        <v>-60883.479999999996</v>
      </c>
    </row>
    <row r="54" spans="1:8" ht="13.5" thickTop="1" x14ac:dyDescent="0.2"/>
  </sheetData>
  <sortState ref="A3:A54">
    <sortCondition ref="A2"/>
  </sortState>
  <hyperlinks>
    <hyperlink ref="A2" location="Accounting!A1" display="Accounting" xr:uid="{00000000-0004-0000-0000-000000000000}"/>
    <hyperlink ref="A3" location="AG!A1" display="Agricultural &amp; Environmental" xr:uid="{00000000-0004-0000-0000-000001000000}"/>
    <hyperlink ref="A4" location="Aikido!A1" display="Aikido" xr:uid="{00000000-0004-0000-0000-000002000000}"/>
    <hyperlink ref="A5" location="ASME!A1" display="American Society of Mechanical Engineers" xr:uid="{00000000-0004-0000-0000-000003000000}"/>
    <hyperlink ref="A7" location="'Berks Cares'!A1" display="Berks Cares" xr:uid="{00000000-0004-0000-0000-000004000000}"/>
    <hyperlink ref="A8" location="'Bks Chemical Society'!A1" display="Berks Chemical Society" xr:uid="{00000000-0004-0000-0000-000005000000}"/>
    <hyperlink ref="A12" location="'Bio-BioChem'!A1" display="Biology-BioChemistry" xr:uid="{00000000-0004-0000-0000-000006000000}"/>
    <hyperlink ref="A13" location="BSU!A1" display="Black Student Union" xr:uid="{00000000-0004-0000-0000-000007000000}"/>
    <hyperlink ref="A14" location="'B&amp;W Society'!A1" display="Blue &amp; White Society" xr:uid="{00000000-0004-0000-0000-000008000000}"/>
    <hyperlink ref="A15" location="B.S.C.C!A1" display="Brotherhood and Sisterhood of Scholarship, Cultural Awareness and Community Service" xr:uid="{00000000-0004-0000-0000-000009000000}"/>
    <hyperlink ref="A16" location="CARP!A1" display="Collegiate Association for the Research of Principles" xr:uid="{00000000-0004-0000-0000-00000A000000}"/>
    <hyperlink ref="A17" location="'Chamber Choir'!A1" display="Chamber Choir" xr:uid="{00000000-0004-0000-0000-00000B000000}"/>
    <hyperlink ref="A18" location="CSF!A1" display="Christian Student Fellowship" xr:uid="{00000000-0004-0000-0000-00000C000000}"/>
    <hyperlink ref="A20" location="'Comm. Nation'!A1" display="Communication Nation" xr:uid="{00000000-0004-0000-0000-00000D000000}"/>
    <hyperlink ref="A19" location="'College Republicans'!A1" display="College Republicans" xr:uid="{00000000-0004-0000-0000-00000E000000}"/>
    <hyperlink ref="A23" location="Entrepreneur!A1" display="Entrepreneurship" xr:uid="{00000000-0004-0000-0000-00000F000000}"/>
    <hyperlink ref="A24" location="HONORS!A1" display="Honors" xr:uid="{00000000-0004-0000-0000-000010000000}"/>
    <hyperlink ref="A25" location="HRS!A1" display="Hotel &amp; Restaurant Society" xr:uid="{00000000-0004-0000-0000-000011000000}"/>
    <hyperlink ref="A26" location="INK!A1" display="InterNational Klub" xr:uid="{00000000-0004-0000-0000-000012000000}"/>
    <hyperlink ref="A27" location="Kines!A1" display="Kinesiology" xr:uid="{00000000-0004-0000-0000-000013000000}"/>
    <hyperlink ref="A28" location="LUC!A1" display="Latino Unity Club" xr:uid="{00000000-0004-0000-0000-000014000000}"/>
    <hyperlink ref="A29" location="MSA!A1" display="Muslim Student Association" xr:uid="{00000000-0004-0000-0000-000015000000}"/>
    <hyperlink ref="A30" location="Outdoors!A1" display="Outdoors" xr:uid="{00000000-0004-0000-0000-000016000000}"/>
    <hyperlink ref="A32" location="'Pre-Med'!A1" display="Pre-Medical" xr:uid="{00000000-0004-0000-0000-000017000000}"/>
    <hyperlink ref="A33" location="'Punjabi Culture'!A1" display="Punjabi Culture" xr:uid="{00000000-0004-0000-0000-000018000000}"/>
    <hyperlink ref="A34" location="PRSSA!A1" display="Public Relations Student Society of America" xr:uid="{00000000-0004-0000-0000-000019000000}"/>
    <hyperlink ref="A35" location="Robotics!A1" display="Robotics" xr:uid="{00000000-0004-0000-0000-00001A000000}"/>
    <hyperlink ref="A36" location="SKI!A1" display="Ski &amp; Snowboard" xr:uid="{00000000-0004-0000-0000-00001B000000}"/>
    <hyperlink ref="A37" location="'SAE Aero'!A1" display="Society of Automotive Engineers: Aero" xr:uid="{00000000-0004-0000-0000-00001C000000}"/>
    <hyperlink ref="A38" location="'SAE Baja'!A1" display="Society of Automotive Engineers: Baja" xr:uid="{00000000-0004-0000-0000-00001D000000}"/>
    <hyperlink ref="A39" location="SWE!A1" display="Society of Women Engineers" xr:uid="{00000000-0004-0000-0000-00001E000000}"/>
    <hyperlink ref="A41" location="'STEP TEAM'!A1" display="Step Team" xr:uid="{00000000-0004-0000-0000-00001F000000}"/>
    <hyperlink ref="A42" location="SOTA!A1" display="Student Occupational Therapy Association" xr:uid="{00000000-0004-0000-0000-000020000000}"/>
    <hyperlink ref="A46" location="'Undistributed Fund'!A1" display="Undistributed Funds" xr:uid="{00000000-0004-0000-0000-000021000000}"/>
    <hyperlink ref="A48" location="'World Affairs'!A1" display="World Affairs Council Club" xr:uid="{00000000-0004-0000-0000-000022000000}"/>
    <hyperlink ref="A50" location="'Zumba Lions'!A1" display="Zumba Lions" xr:uid="{00000000-0004-0000-0000-000023000000}"/>
    <hyperlink ref="A22" location="DECA!A1" display="DECA" xr:uid="{00000000-0004-0000-0000-000024000000}"/>
    <hyperlink ref="A45" location="'THON SGA'!A1" display="Penn State IFC/Panhellenic Dance Marathon-Fundraised" xr:uid="{00000000-0004-0000-0000-000025000000}"/>
    <hyperlink ref="A21" location="'Criminal Justice'!Print_Area" display="Criminal Justice" xr:uid="{00000000-0004-0000-0000-000026000000}"/>
    <hyperlink ref="A31" location="PSEA!A1" display="PSEA" xr:uid="{00000000-0004-0000-0000-000027000000}"/>
    <hyperlink ref="A40" location="'Sci-Tech'!A1" display="Sci-Tech Society" xr:uid="{00000000-0004-0000-0000-000028000000}"/>
    <hyperlink ref="A44" location="Sustainability!A1" display="Sustainability" xr:uid="{00000000-0004-0000-0000-000029000000}"/>
    <hyperlink ref="A47" location="VIP!A1" display="VIP Club" xr:uid="{00000000-0004-0000-0000-00002A000000}"/>
    <hyperlink ref="A9" location="'Berks Democrats'!A1" display="Berks Democrats" xr:uid="{00000000-0004-0000-0000-00002B000000}"/>
    <hyperlink ref="A49" location="YAMS!A1" display="Yoga and Meditation Society" xr:uid="{00000000-0004-0000-0000-00002C000000}"/>
    <hyperlink ref="A43" location="SOTA!A1" display="Student Occupational Therapy Association" xr:uid="{00000000-0004-0000-0000-00002D000000}"/>
    <hyperlink ref="A6" location="Aviation!A1" display="Aviation Society" xr:uid="{00000000-0004-0000-0000-00002E000000}"/>
    <hyperlink ref="A11" location="'Berks Theatre'!A1" display="Berks Theatre Society" xr:uid="{00000000-0004-0000-0000-00002F000000}"/>
    <hyperlink ref="A10" location="'Berks Democrats'!A1" display="Berks Democrats" xr:uid="{00000000-0004-0000-0000-000030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0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1.140625" style="246" bestFit="1" customWidth="1"/>
    <col min="8" max="8" width="9.140625" style="246"/>
    <col min="9" max="9" width="10.85546875" style="246" bestFit="1" customWidth="1"/>
    <col min="10" max="10" width="12.28515625" style="246" customWidth="1"/>
    <col min="11" max="11" width="27.5703125" style="246" customWidth="1"/>
    <col min="12" max="12" width="10.28515625" style="246" bestFit="1" customWidth="1"/>
    <col min="13" max="13" width="9.140625" style="246"/>
    <col min="14" max="14" width="10.5703125" style="246" customWidth="1"/>
    <col min="15" max="15" width="10.28515625" style="246" bestFit="1" customWidth="1"/>
    <col min="16" max="16384" width="9.140625" style="246"/>
  </cols>
  <sheetData>
    <row r="1" spans="1:15" x14ac:dyDescent="0.2">
      <c r="A1" s="353" t="s">
        <v>11</v>
      </c>
      <c r="B1" s="354"/>
      <c r="C1" s="354"/>
      <c r="D1" s="354"/>
      <c r="E1" s="354"/>
      <c r="F1" s="354"/>
      <c r="G1" s="355"/>
      <c r="H1" s="301" t="s">
        <v>78</v>
      </c>
      <c r="I1" s="353" t="s">
        <v>11</v>
      </c>
      <c r="J1" s="354"/>
      <c r="K1" s="354"/>
      <c r="L1" s="354"/>
      <c r="M1" s="354"/>
      <c r="N1" s="354"/>
      <c r="O1" s="355"/>
    </row>
    <row r="2" spans="1:15" x14ac:dyDescent="0.2">
      <c r="A2" s="356" t="s">
        <v>41</v>
      </c>
      <c r="B2" s="357"/>
      <c r="C2" s="357"/>
      <c r="D2" s="357"/>
      <c r="E2" s="357"/>
      <c r="F2" s="357"/>
      <c r="G2" s="358"/>
      <c r="I2" s="356" t="s">
        <v>41</v>
      </c>
      <c r="J2" s="357"/>
      <c r="K2" s="357"/>
      <c r="L2" s="357"/>
      <c r="M2" s="357"/>
      <c r="N2" s="357"/>
      <c r="O2" s="358"/>
    </row>
    <row r="3" spans="1:15" x14ac:dyDescent="0.2">
      <c r="A3" s="359"/>
      <c r="B3" s="360"/>
      <c r="C3" s="360"/>
      <c r="D3" s="360"/>
      <c r="E3" s="360"/>
      <c r="F3" s="360"/>
      <c r="G3" s="361"/>
      <c r="I3" s="359"/>
      <c r="J3" s="360"/>
      <c r="K3" s="360"/>
      <c r="L3" s="360"/>
      <c r="M3" s="360"/>
      <c r="N3" s="360"/>
      <c r="O3" s="361"/>
    </row>
    <row r="4" spans="1:15" ht="18" x14ac:dyDescent="0.2">
      <c r="A4" s="362" t="s">
        <v>331</v>
      </c>
      <c r="B4" s="363"/>
      <c r="C4" s="363"/>
      <c r="D4" s="363"/>
      <c r="E4" s="363"/>
      <c r="F4" s="363"/>
      <c r="G4" s="364"/>
      <c r="I4" s="362" t="s">
        <v>331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66"/>
      <c r="K5" s="366"/>
      <c r="L5" s="366"/>
      <c r="M5" s="366"/>
      <c r="N5" s="366"/>
      <c r="O5" s="367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I8" s="116"/>
      <c r="J8" s="185"/>
      <c r="K8" s="185" t="s">
        <v>74</v>
      </c>
      <c r="L8" s="186"/>
      <c r="M8" s="186"/>
      <c r="N8" s="186"/>
      <c r="O8" s="296">
        <v>906.35</v>
      </c>
    </row>
    <row r="9" spans="1:15" x14ac:dyDescent="0.2">
      <c r="A9" s="116"/>
      <c r="B9" s="245"/>
      <c r="C9" s="271"/>
      <c r="D9" s="186"/>
      <c r="E9" s="186"/>
      <c r="F9" s="186"/>
      <c r="G9" s="297">
        <f t="shared" ref="G9:G28" si="0">SUM(G8+D9-E9-F9)</f>
        <v>0</v>
      </c>
      <c r="I9" s="14">
        <v>43154</v>
      </c>
      <c r="J9" s="348" t="s">
        <v>249</v>
      </c>
      <c r="K9" s="63" t="s">
        <v>250</v>
      </c>
      <c r="L9" s="185"/>
      <c r="M9" s="185"/>
      <c r="N9" s="186">
        <v>147.9</v>
      </c>
      <c r="O9" s="297">
        <f>O8+L9-M9-N9</f>
        <v>758.45</v>
      </c>
    </row>
    <row r="10" spans="1:15" x14ac:dyDescent="0.2">
      <c r="A10" s="116"/>
      <c r="B10" s="185"/>
      <c r="C10" s="185"/>
      <c r="D10" s="186"/>
      <c r="E10" s="186"/>
      <c r="F10" s="186"/>
      <c r="G10" s="297">
        <f t="shared" si="0"/>
        <v>0</v>
      </c>
      <c r="I10" s="116">
        <v>43203</v>
      </c>
      <c r="J10" s="185" t="s">
        <v>311</v>
      </c>
      <c r="K10" s="185" t="s">
        <v>312</v>
      </c>
      <c r="L10" s="186"/>
      <c r="M10" s="186"/>
      <c r="N10" s="186">
        <f>40.97-6.15</f>
        <v>34.82</v>
      </c>
      <c r="O10" s="297">
        <f t="shared" ref="O10:O11" si="1">O9+L10-M10-N10</f>
        <v>723.63</v>
      </c>
    </row>
    <row r="11" spans="1:15" x14ac:dyDescent="0.2">
      <c r="A11" s="116"/>
      <c r="B11" s="185"/>
      <c r="C11" s="185"/>
      <c r="D11" s="186"/>
      <c r="E11" s="186"/>
      <c r="F11" s="186"/>
      <c r="G11" s="297">
        <f t="shared" si="0"/>
        <v>0</v>
      </c>
      <c r="I11" s="116">
        <v>43217</v>
      </c>
      <c r="J11" s="185" t="s">
        <v>332</v>
      </c>
      <c r="K11" s="185" t="s">
        <v>333</v>
      </c>
      <c r="L11" s="186"/>
      <c r="M11" s="186"/>
      <c r="N11" s="186">
        <f>40.97-6.15</f>
        <v>34.82</v>
      </c>
      <c r="O11" s="297">
        <f t="shared" si="1"/>
        <v>688.81</v>
      </c>
    </row>
    <row r="12" spans="1:15" x14ac:dyDescent="0.2">
      <c r="A12" s="116"/>
      <c r="B12" s="185"/>
      <c r="C12" s="185"/>
      <c r="D12" s="186"/>
      <c r="E12" s="186"/>
      <c r="F12" s="186"/>
      <c r="G12" s="297">
        <f t="shared" si="0"/>
        <v>0</v>
      </c>
      <c r="I12" s="116"/>
      <c r="J12" s="185"/>
      <c r="K12" s="185"/>
      <c r="L12" s="186"/>
      <c r="M12" s="186"/>
      <c r="N12" s="186"/>
      <c r="O12" s="297">
        <f>O11+L26-M26-N26</f>
        <v>688.81</v>
      </c>
    </row>
    <row r="13" spans="1:15" x14ac:dyDescent="0.2">
      <c r="A13" s="116"/>
      <c r="B13" s="185"/>
      <c r="C13" s="185"/>
      <c r="D13" s="186"/>
      <c r="E13" s="186"/>
      <c r="F13" s="186"/>
      <c r="G13" s="297">
        <f t="shared" si="0"/>
        <v>0</v>
      </c>
      <c r="I13" s="116"/>
      <c r="J13" s="185"/>
      <c r="K13" s="185"/>
      <c r="L13" s="186"/>
      <c r="M13" s="186"/>
      <c r="N13" s="186"/>
      <c r="O13" s="297">
        <f t="shared" ref="O13:O25" si="2">O12+L27-M27-N27</f>
        <v>688.81</v>
      </c>
    </row>
    <row r="14" spans="1:15" x14ac:dyDescent="0.2">
      <c r="A14" s="116"/>
      <c r="B14" s="185"/>
      <c r="C14" s="185"/>
      <c r="D14" s="186"/>
      <c r="E14" s="186"/>
      <c r="F14" s="186"/>
      <c r="G14" s="297">
        <f t="shared" si="0"/>
        <v>0</v>
      </c>
      <c r="I14" s="116"/>
      <c r="J14" s="185"/>
      <c r="K14" s="185"/>
      <c r="L14" s="186"/>
      <c r="M14" s="186"/>
      <c r="N14" s="186"/>
      <c r="O14" s="297">
        <f t="shared" si="2"/>
        <v>688.81</v>
      </c>
    </row>
    <row r="15" spans="1:15" x14ac:dyDescent="0.2">
      <c r="A15" s="116"/>
      <c r="B15" s="185"/>
      <c r="C15" s="185"/>
      <c r="D15" s="186"/>
      <c r="E15" s="186"/>
      <c r="F15" s="186"/>
      <c r="G15" s="297">
        <f t="shared" si="0"/>
        <v>0</v>
      </c>
      <c r="I15" s="116"/>
      <c r="J15" s="185"/>
      <c r="K15" s="185"/>
      <c r="L15" s="186"/>
      <c r="M15" s="186"/>
      <c r="N15" s="186"/>
      <c r="O15" s="297">
        <f t="shared" si="2"/>
        <v>688.81</v>
      </c>
    </row>
    <row r="16" spans="1:15" x14ac:dyDescent="0.2">
      <c r="A16" s="116"/>
      <c r="B16" s="185"/>
      <c r="C16" s="185"/>
      <c r="D16" s="186"/>
      <c r="E16" s="186"/>
      <c r="F16" s="186"/>
      <c r="G16" s="297">
        <f t="shared" si="0"/>
        <v>0</v>
      </c>
      <c r="I16" s="116"/>
      <c r="J16" s="185"/>
      <c r="K16" s="185"/>
      <c r="L16" s="186"/>
      <c r="M16" s="186"/>
      <c r="N16" s="186"/>
      <c r="O16" s="297">
        <f t="shared" si="2"/>
        <v>688.81</v>
      </c>
    </row>
    <row r="17" spans="1:15" x14ac:dyDescent="0.2">
      <c r="A17" s="116"/>
      <c r="B17" s="185"/>
      <c r="C17" s="185"/>
      <c r="D17" s="186"/>
      <c r="E17" s="186"/>
      <c r="F17" s="186"/>
      <c r="G17" s="297">
        <f t="shared" si="0"/>
        <v>0</v>
      </c>
      <c r="I17" s="116"/>
      <c r="J17" s="185"/>
      <c r="K17" s="185"/>
      <c r="L17" s="186"/>
      <c r="M17" s="186"/>
      <c r="N17" s="186"/>
      <c r="O17" s="297">
        <f t="shared" si="2"/>
        <v>688.81</v>
      </c>
    </row>
    <row r="18" spans="1:15" x14ac:dyDescent="0.2">
      <c r="A18" s="116"/>
      <c r="B18" s="185"/>
      <c r="C18" s="185"/>
      <c r="D18" s="186"/>
      <c r="E18" s="186"/>
      <c r="F18" s="186"/>
      <c r="G18" s="297">
        <f t="shared" si="0"/>
        <v>0</v>
      </c>
      <c r="I18" s="116"/>
      <c r="J18" s="185"/>
      <c r="K18" s="185"/>
      <c r="L18" s="186"/>
      <c r="M18" s="186"/>
      <c r="N18" s="186"/>
      <c r="O18" s="297">
        <f t="shared" si="2"/>
        <v>688.81</v>
      </c>
    </row>
    <row r="19" spans="1:15" x14ac:dyDescent="0.2">
      <c r="A19" s="116"/>
      <c r="B19" s="185"/>
      <c r="C19" s="185"/>
      <c r="D19" s="186"/>
      <c r="E19" s="186"/>
      <c r="F19" s="186"/>
      <c r="G19" s="297">
        <f t="shared" si="0"/>
        <v>0</v>
      </c>
      <c r="I19" s="116"/>
      <c r="J19" s="185"/>
      <c r="K19" s="185"/>
      <c r="L19" s="186"/>
      <c r="M19" s="186"/>
      <c r="N19" s="186"/>
      <c r="O19" s="297">
        <f t="shared" si="2"/>
        <v>688.81</v>
      </c>
    </row>
    <row r="20" spans="1:15" x14ac:dyDescent="0.2">
      <c r="A20" s="116"/>
      <c r="B20" s="185"/>
      <c r="C20" s="185"/>
      <c r="D20" s="186"/>
      <c r="E20" s="186"/>
      <c r="F20" s="186"/>
      <c r="G20" s="297">
        <f t="shared" si="0"/>
        <v>0</v>
      </c>
      <c r="I20" s="116"/>
      <c r="J20" s="185"/>
      <c r="K20" s="185"/>
      <c r="L20" s="186"/>
      <c r="M20" s="186"/>
      <c r="N20" s="186"/>
      <c r="O20" s="297">
        <f t="shared" si="2"/>
        <v>688.81</v>
      </c>
    </row>
    <row r="21" spans="1:15" x14ac:dyDescent="0.2">
      <c r="A21" s="116"/>
      <c r="B21" s="185"/>
      <c r="C21" s="185"/>
      <c r="D21" s="186"/>
      <c r="E21" s="186"/>
      <c r="F21" s="186"/>
      <c r="G21" s="297">
        <f t="shared" si="0"/>
        <v>0</v>
      </c>
      <c r="I21" s="116"/>
      <c r="J21" s="185"/>
      <c r="K21" s="185"/>
      <c r="L21" s="186"/>
      <c r="M21" s="186"/>
      <c r="N21" s="186"/>
      <c r="O21" s="297">
        <f t="shared" si="2"/>
        <v>688.81</v>
      </c>
    </row>
    <row r="22" spans="1:15" x14ac:dyDescent="0.2">
      <c r="A22" s="116"/>
      <c r="B22" s="185"/>
      <c r="C22" s="185"/>
      <c r="D22" s="186"/>
      <c r="E22" s="186"/>
      <c r="F22" s="186"/>
      <c r="G22" s="297">
        <f t="shared" si="0"/>
        <v>0</v>
      </c>
      <c r="I22" s="116"/>
      <c r="J22" s="185"/>
      <c r="K22" s="185"/>
      <c r="L22" s="186"/>
      <c r="M22" s="186"/>
      <c r="N22" s="186"/>
      <c r="O22" s="297">
        <f t="shared" si="2"/>
        <v>688.81</v>
      </c>
    </row>
    <row r="23" spans="1:15" x14ac:dyDescent="0.2">
      <c r="A23" s="116"/>
      <c r="B23" s="185"/>
      <c r="C23" s="185"/>
      <c r="D23" s="185"/>
      <c r="E23" s="185"/>
      <c r="F23" s="186"/>
      <c r="G23" s="297">
        <f t="shared" si="0"/>
        <v>0</v>
      </c>
      <c r="I23" s="116"/>
      <c r="J23" s="185"/>
      <c r="K23" s="185"/>
      <c r="L23" s="186"/>
      <c r="M23" s="186"/>
      <c r="N23" s="186"/>
      <c r="O23" s="297">
        <f t="shared" si="2"/>
        <v>688.81</v>
      </c>
    </row>
    <row r="24" spans="1:15" x14ac:dyDescent="0.2">
      <c r="A24" s="116"/>
      <c r="B24" s="185"/>
      <c r="C24" s="185"/>
      <c r="D24" s="186"/>
      <c r="E24" s="186"/>
      <c r="F24" s="186"/>
      <c r="G24" s="297">
        <f t="shared" si="0"/>
        <v>0</v>
      </c>
      <c r="I24" s="116"/>
      <c r="J24" s="185"/>
      <c r="K24" s="185"/>
      <c r="L24" s="186"/>
      <c r="M24" s="186"/>
      <c r="N24" s="186"/>
      <c r="O24" s="297">
        <f t="shared" si="2"/>
        <v>688.81</v>
      </c>
    </row>
    <row r="25" spans="1:15" x14ac:dyDescent="0.2">
      <c r="A25" s="116"/>
      <c r="B25" s="185"/>
      <c r="C25" s="185"/>
      <c r="D25" s="186"/>
      <c r="E25" s="186"/>
      <c r="F25" s="186"/>
      <c r="G25" s="297">
        <f t="shared" si="0"/>
        <v>0</v>
      </c>
      <c r="I25" s="116"/>
      <c r="J25" s="185"/>
      <c r="K25" s="185"/>
      <c r="L25" s="186"/>
      <c r="M25" s="186"/>
      <c r="N25" s="186"/>
      <c r="O25" s="297">
        <f t="shared" si="2"/>
        <v>688.81</v>
      </c>
    </row>
    <row r="26" spans="1:15" x14ac:dyDescent="0.2">
      <c r="A26" s="120"/>
      <c r="B26" s="117"/>
      <c r="C26" s="117"/>
      <c r="D26" s="165"/>
      <c r="E26" s="165"/>
      <c r="F26" s="165"/>
      <c r="G26" s="298">
        <f t="shared" si="0"/>
        <v>0</v>
      </c>
      <c r="I26" s="120"/>
      <c r="J26" s="117"/>
      <c r="K26" s="117"/>
      <c r="L26" s="165"/>
      <c r="M26" s="165"/>
      <c r="N26" s="165"/>
      <c r="O26" s="297">
        <f>O25+L29-M29-N29</f>
        <v>688.81</v>
      </c>
    </row>
    <row r="27" spans="1:15" x14ac:dyDescent="0.2">
      <c r="A27" s="120"/>
      <c r="B27" s="117"/>
      <c r="C27" s="117"/>
      <c r="D27" s="165"/>
      <c r="E27" s="165"/>
      <c r="F27" s="165"/>
      <c r="G27" s="298">
        <f t="shared" si="0"/>
        <v>0</v>
      </c>
      <c r="I27" s="120"/>
      <c r="J27" s="117"/>
      <c r="K27" s="117"/>
      <c r="L27" s="165"/>
      <c r="M27" s="165"/>
      <c r="N27" s="165"/>
      <c r="O27" s="297">
        <f>O26+L30-M30-N30</f>
        <v>688.81</v>
      </c>
    </row>
    <row r="28" spans="1:15" ht="13.5" thickBot="1" x14ac:dyDescent="0.25">
      <c r="A28" s="121"/>
      <c r="B28" s="122"/>
      <c r="C28" s="122"/>
      <c r="D28" s="167"/>
      <c r="E28" s="167"/>
      <c r="F28" s="167"/>
      <c r="G28" s="168">
        <f t="shared" si="0"/>
        <v>0</v>
      </c>
      <c r="I28" s="121"/>
      <c r="J28" s="122"/>
      <c r="K28" s="122"/>
      <c r="L28" s="167"/>
      <c r="M28" s="167"/>
      <c r="N28" s="167"/>
      <c r="O28" s="168">
        <f>SUM(O27+L28-M28-N28)</f>
        <v>688.81</v>
      </c>
    </row>
    <row r="29" spans="1:15" ht="13.5" thickTop="1" x14ac:dyDescent="0.2">
      <c r="A29" s="113"/>
      <c r="B29" s="114"/>
      <c r="C29" s="114"/>
      <c r="D29" s="161"/>
      <c r="E29" s="161"/>
      <c r="F29" s="161"/>
      <c r="G29" s="162"/>
      <c r="I29" s="113"/>
      <c r="J29" s="114"/>
      <c r="K29" s="114"/>
      <c r="L29" s="161"/>
      <c r="M29" s="161"/>
      <c r="N29" s="161"/>
      <c r="O29" s="162"/>
    </row>
    <row r="30" spans="1:15" ht="13.5" thickBot="1" x14ac:dyDescent="0.25">
      <c r="A30" s="124" t="s">
        <v>3</v>
      </c>
      <c r="B30" s="125"/>
      <c r="C30" s="125"/>
      <c r="D30" s="159"/>
      <c r="E30" s="169"/>
      <c r="F30" s="169"/>
      <c r="G30" s="209">
        <f>G28</f>
        <v>0</v>
      </c>
      <c r="I30" s="124" t="s">
        <v>3</v>
      </c>
      <c r="J30" s="125"/>
      <c r="K30" s="125"/>
      <c r="L30" s="159"/>
      <c r="M30" s="169"/>
      <c r="N30" s="169"/>
      <c r="O30" s="209">
        <f>O28</f>
        <v>688.81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0900-000000000000}"/>
  </hyperlink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tabSelected="1" workbookViewId="0">
      <selection activeCell="K10" sqref="K10"/>
    </sheetView>
  </sheetViews>
  <sheetFormatPr defaultRowHeight="12.75" x14ac:dyDescent="0.2"/>
  <cols>
    <col min="3" max="3" width="19.42578125" bestFit="1" customWidth="1"/>
    <col min="11" max="11" width="24.140625" customWidth="1"/>
    <col min="15" max="15" width="13.285156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H2" s="246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H3" s="246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149</v>
      </c>
      <c r="B4" s="363"/>
      <c r="C4" s="363"/>
      <c r="D4" s="363"/>
      <c r="E4" s="363"/>
      <c r="F4" s="363"/>
      <c r="G4" s="364"/>
      <c r="H4" s="246"/>
      <c r="I4" s="362" t="s">
        <v>149</v>
      </c>
      <c r="J4" s="363"/>
      <c r="K4" s="363"/>
      <c r="L4" s="363"/>
      <c r="M4" s="363"/>
      <c r="N4" s="363"/>
      <c r="O4" s="364"/>
    </row>
    <row r="5" spans="1:15" ht="37.5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H7" s="246"/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600</v>
      </c>
      <c r="H8" s="246"/>
      <c r="I8" s="247"/>
      <c r="J8" s="238"/>
      <c r="K8" s="238" t="s">
        <v>74</v>
      </c>
      <c r="L8" s="248"/>
      <c r="M8" s="248"/>
      <c r="N8" s="248"/>
      <c r="O8" s="249">
        <v>2000</v>
      </c>
    </row>
    <row r="9" spans="1:15" ht="25.5" x14ac:dyDescent="0.2">
      <c r="A9" s="150"/>
      <c r="B9" s="232"/>
      <c r="C9" s="270"/>
      <c r="D9" s="151"/>
      <c r="E9" s="151"/>
      <c r="F9" s="152"/>
      <c r="G9" s="153">
        <f t="shared" ref="G9:G24" si="0">SUM(G8+D9-E9-F9)</f>
        <v>600</v>
      </c>
      <c r="H9" s="246"/>
      <c r="I9" s="116">
        <v>43242</v>
      </c>
      <c r="J9" s="185">
        <v>11638874</v>
      </c>
      <c r="K9" s="271" t="s">
        <v>361</v>
      </c>
      <c r="L9" s="154"/>
      <c r="M9" s="154"/>
      <c r="N9" s="155">
        <v>900</v>
      </c>
      <c r="O9" s="153">
        <f t="shared" ref="O9:O24" si="1">SUM(O8+L9-M9-N9)</f>
        <v>1100</v>
      </c>
    </row>
    <row r="10" spans="1:15" x14ac:dyDescent="0.2">
      <c r="A10" s="150"/>
      <c r="B10" s="232"/>
      <c r="C10" s="270"/>
      <c r="D10" s="151"/>
      <c r="E10" s="151"/>
      <c r="F10" s="152"/>
      <c r="G10" s="153">
        <f t="shared" si="0"/>
        <v>600</v>
      </c>
      <c r="H10" s="246"/>
      <c r="I10" s="150"/>
      <c r="J10" s="232"/>
      <c r="K10" s="270"/>
      <c r="L10" s="151"/>
      <c r="M10" s="151"/>
      <c r="N10" s="152"/>
      <c r="O10" s="153">
        <f t="shared" si="1"/>
        <v>1100</v>
      </c>
    </row>
    <row r="11" spans="1:15" x14ac:dyDescent="0.2">
      <c r="A11" s="150"/>
      <c r="B11" s="232"/>
      <c r="C11" s="270"/>
      <c r="D11" s="151"/>
      <c r="E11" s="151"/>
      <c r="F11" s="152"/>
      <c r="G11" s="153">
        <f t="shared" si="0"/>
        <v>600</v>
      </c>
      <c r="H11" s="246"/>
      <c r="I11" s="150"/>
      <c r="J11" s="232"/>
      <c r="K11" s="270"/>
      <c r="L11" s="151"/>
      <c r="M11" s="151"/>
      <c r="N11" s="152"/>
      <c r="O11" s="153">
        <f t="shared" si="1"/>
        <v>1100</v>
      </c>
    </row>
    <row r="12" spans="1:15" x14ac:dyDescent="0.2">
      <c r="A12" s="116"/>
      <c r="B12" s="185"/>
      <c r="C12" s="271"/>
      <c r="D12" s="154"/>
      <c r="E12" s="154"/>
      <c r="F12" s="155"/>
      <c r="G12" s="153">
        <f t="shared" si="0"/>
        <v>600</v>
      </c>
      <c r="H12" s="170"/>
      <c r="I12" s="116"/>
      <c r="J12" s="185"/>
      <c r="K12" s="271"/>
      <c r="L12" s="154"/>
      <c r="M12" s="154"/>
      <c r="N12" s="155"/>
      <c r="O12" s="153">
        <f t="shared" si="1"/>
        <v>1100</v>
      </c>
    </row>
    <row r="13" spans="1:15" x14ac:dyDescent="0.2">
      <c r="A13" s="116"/>
      <c r="B13" s="185"/>
      <c r="C13" s="271"/>
      <c r="D13" s="154"/>
      <c r="E13" s="154"/>
      <c r="F13" s="155"/>
      <c r="G13" s="153">
        <f t="shared" si="0"/>
        <v>600</v>
      </c>
      <c r="H13" s="170"/>
      <c r="I13" s="116"/>
      <c r="J13" s="185"/>
      <c r="K13" s="271"/>
      <c r="L13" s="154"/>
      <c r="M13" s="154"/>
      <c r="N13" s="155"/>
      <c r="O13" s="153">
        <f t="shared" si="1"/>
        <v>1100</v>
      </c>
    </row>
    <row r="14" spans="1:15" x14ac:dyDescent="0.2">
      <c r="A14" s="116"/>
      <c r="B14" s="117"/>
      <c r="C14" s="272"/>
      <c r="D14" s="154"/>
      <c r="E14" s="154"/>
      <c r="F14" s="155"/>
      <c r="G14" s="153">
        <f t="shared" si="0"/>
        <v>600</v>
      </c>
      <c r="H14" s="170"/>
      <c r="I14" s="116"/>
      <c r="J14" s="117"/>
      <c r="K14" s="272"/>
      <c r="L14" s="154"/>
      <c r="M14" s="154"/>
      <c r="N14" s="155"/>
      <c r="O14" s="153">
        <f t="shared" si="1"/>
        <v>1100</v>
      </c>
    </row>
    <row r="15" spans="1:15" x14ac:dyDescent="0.2">
      <c r="A15" s="116"/>
      <c r="B15" s="119"/>
      <c r="C15" s="271"/>
      <c r="D15" s="154"/>
      <c r="E15" s="154"/>
      <c r="F15" s="155"/>
      <c r="G15" s="153">
        <f t="shared" si="0"/>
        <v>600</v>
      </c>
      <c r="H15" s="246"/>
      <c r="I15" s="116"/>
      <c r="J15" s="119"/>
      <c r="K15" s="271"/>
      <c r="L15" s="154"/>
      <c r="M15" s="154"/>
      <c r="N15" s="155"/>
      <c r="O15" s="153">
        <f t="shared" si="1"/>
        <v>1100</v>
      </c>
    </row>
    <row r="16" spans="1:15" x14ac:dyDescent="0.2">
      <c r="A16" s="116"/>
      <c r="B16" s="185"/>
      <c r="C16" s="271"/>
      <c r="D16" s="154"/>
      <c r="E16" s="154"/>
      <c r="F16" s="155"/>
      <c r="G16" s="153">
        <f t="shared" si="0"/>
        <v>600</v>
      </c>
      <c r="H16" s="246"/>
      <c r="I16" s="116"/>
      <c r="J16" s="185"/>
      <c r="K16" s="271"/>
      <c r="L16" s="154"/>
      <c r="M16" s="154"/>
      <c r="N16" s="155"/>
      <c r="O16" s="153">
        <f t="shared" si="1"/>
        <v>1100</v>
      </c>
    </row>
    <row r="17" spans="1:15" x14ac:dyDescent="0.2">
      <c r="A17" s="120"/>
      <c r="B17" s="117"/>
      <c r="C17" s="117"/>
      <c r="D17" s="154"/>
      <c r="E17" s="154"/>
      <c r="F17" s="154"/>
      <c r="G17" s="153">
        <f t="shared" si="0"/>
        <v>600</v>
      </c>
      <c r="H17" s="246"/>
      <c r="I17" s="120"/>
      <c r="J17" s="117"/>
      <c r="K17" s="117"/>
      <c r="L17" s="154"/>
      <c r="M17" s="154"/>
      <c r="N17" s="154"/>
      <c r="O17" s="153">
        <f t="shared" si="1"/>
        <v>1100</v>
      </c>
    </row>
    <row r="18" spans="1:15" x14ac:dyDescent="0.2">
      <c r="A18" s="120"/>
      <c r="B18" s="117"/>
      <c r="C18" s="117"/>
      <c r="D18" s="154"/>
      <c r="E18" s="154"/>
      <c r="F18" s="154"/>
      <c r="G18" s="153">
        <f t="shared" si="0"/>
        <v>600</v>
      </c>
      <c r="H18" s="246"/>
      <c r="I18" s="120"/>
      <c r="J18" s="117"/>
      <c r="K18" s="117"/>
      <c r="L18" s="154"/>
      <c r="M18" s="154"/>
      <c r="N18" s="154"/>
      <c r="O18" s="153">
        <f t="shared" si="1"/>
        <v>1100</v>
      </c>
    </row>
    <row r="19" spans="1:15" x14ac:dyDescent="0.2">
      <c r="A19" s="120"/>
      <c r="B19" s="117"/>
      <c r="C19" s="117"/>
      <c r="D19" s="154"/>
      <c r="E19" s="154"/>
      <c r="F19" s="154"/>
      <c r="G19" s="153">
        <f t="shared" si="0"/>
        <v>600</v>
      </c>
      <c r="H19" s="246"/>
      <c r="I19" s="120"/>
      <c r="J19" s="117"/>
      <c r="K19" s="117"/>
      <c r="L19" s="154"/>
      <c r="M19" s="154"/>
      <c r="N19" s="154"/>
      <c r="O19" s="153">
        <f t="shared" si="1"/>
        <v>1100</v>
      </c>
    </row>
    <row r="20" spans="1:15" x14ac:dyDescent="0.2">
      <c r="A20" s="120"/>
      <c r="B20" s="117"/>
      <c r="C20" s="117"/>
      <c r="D20" s="154"/>
      <c r="E20" s="154"/>
      <c r="F20" s="154"/>
      <c r="G20" s="153">
        <f t="shared" si="0"/>
        <v>600</v>
      </c>
      <c r="H20" s="246"/>
      <c r="I20" s="120"/>
      <c r="J20" s="117"/>
      <c r="K20" s="117"/>
      <c r="L20" s="154"/>
      <c r="M20" s="154"/>
      <c r="N20" s="154"/>
      <c r="O20" s="153">
        <f t="shared" si="1"/>
        <v>1100</v>
      </c>
    </row>
    <row r="21" spans="1:15" x14ac:dyDescent="0.2">
      <c r="A21" s="120"/>
      <c r="B21" s="117"/>
      <c r="C21" s="117"/>
      <c r="D21" s="154"/>
      <c r="E21" s="154"/>
      <c r="F21" s="154"/>
      <c r="G21" s="153">
        <f t="shared" si="0"/>
        <v>600</v>
      </c>
      <c r="H21" s="246"/>
      <c r="I21" s="120"/>
      <c r="J21" s="117"/>
      <c r="K21" s="117"/>
      <c r="L21" s="154"/>
      <c r="M21" s="154"/>
      <c r="N21" s="154"/>
      <c r="O21" s="153">
        <f t="shared" si="1"/>
        <v>1100</v>
      </c>
    </row>
    <row r="22" spans="1:15" x14ac:dyDescent="0.2">
      <c r="A22" s="120"/>
      <c r="B22" s="117"/>
      <c r="C22" s="117"/>
      <c r="D22" s="154"/>
      <c r="E22" s="154"/>
      <c r="F22" s="154"/>
      <c r="G22" s="153">
        <f t="shared" si="0"/>
        <v>600</v>
      </c>
      <c r="H22" s="246"/>
      <c r="I22" s="120"/>
      <c r="J22" s="117"/>
      <c r="K22" s="117"/>
      <c r="L22" s="154"/>
      <c r="M22" s="154"/>
      <c r="N22" s="154"/>
      <c r="O22" s="153">
        <f t="shared" si="1"/>
        <v>1100</v>
      </c>
    </row>
    <row r="23" spans="1:15" x14ac:dyDescent="0.2">
      <c r="A23" s="120"/>
      <c r="B23" s="117"/>
      <c r="C23" s="117"/>
      <c r="D23" s="154"/>
      <c r="E23" s="154"/>
      <c r="F23" s="154"/>
      <c r="G23" s="153">
        <f t="shared" si="0"/>
        <v>600</v>
      </c>
      <c r="H23" s="246"/>
      <c r="I23" s="120"/>
      <c r="J23" s="117"/>
      <c r="K23" s="117"/>
      <c r="L23" s="154"/>
      <c r="M23" s="154"/>
      <c r="N23" s="154"/>
      <c r="O23" s="153">
        <f t="shared" si="1"/>
        <v>1100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3">
        <f t="shared" si="0"/>
        <v>600</v>
      </c>
      <c r="H24" s="246"/>
      <c r="I24" s="121"/>
      <c r="J24" s="122"/>
      <c r="K24" s="122"/>
      <c r="L24" s="157"/>
      <c r="M24" s="157"/>
      <c r="N24" s="157"/>
      <c r="O24" s="153">
        <f t="shared" si="1"/>
        <v>1100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H25" s="246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600</v>
      </c>
      <c r="H26" s="246"/>
      <c r="I26" s="124" t="s">
        <v>3</v>
      </c>
      <c r="J26" s="125"/>
      <c r="K26" s="125"/>
      <c r="L26" s="159"/>
      <c r="M26" s="160"/>
      <c r="N26" s="160"/>
      <c r="O26" s="209">
        <f>O24</f>
        <v>1100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1:O38"/>
  <sheetViews>
    <sheetView workbookViewId="0">
      <selection activeCell="H1" sqref="H1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0.28515625" style="246" bestFit="1" customWidth="1"/>
    <col min="8" max="8" width="9.140625" style="246"/>
    <col min="9" max="9" width="10.28515625" style="246" customWidth="1"/>
    <col min="10" max="10" width="11.7109375" style="246" customWidth="1"/>
    <col min="11" max="11" width="34.42578125" style="246" customWidth="1"/>
    <col min="12" max="12" width="10.28515625" style="246" bestFit="1" customWidth="1"/>
    <col min="13" max="13" width="5.42578125" style="246" bestFit="1" customWidth="1"/>
    <col min="14" max="15" width="10.28515625" style="246" bestFit="1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46</v>
      </c>
      <c r="B4" s="363"/>
      <c r="C4" s="363"/>
      <c r="D4" s="363"/>
      <c r="E4" s="363"/>
      <c r="F4" s="363"/>
      <c r="G4" s="364"/>
      <c r="I4" s="362" t="s">
        <v>46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120"/>
      <c r="B8" s="117"/>
      <c r="C8" s="117" t="s">
        <v>70</v>
      </c>
      <c r="D8" s="165"/>
      <c r="E8" s="165"/>
      <c r="F8" s="165"/>
      <c r="G8" s="296">
        <v>2392.9</v>
      </c>
      <c r="I8" s="120"/>
      <c r="J8" s="117"/>
      <c r="K8" s="117" t="s">
        <v>74</v>
      </c>
      <c r="L8" s="165"/>
      <c r="M8" s="165"/>
      <c r="N8" s="165"/>
      <c r="O8" s="296">
        <v>125.38</v>
      </c>
    </row>
    <row r="9" spans="1:15" x14ac:dyDescent="0.2">
      <c r="A9" s="116"/>
      <c r="B9" s="117"/>
      <c r="C9" s="185"/>
      <c r="D9" s="165"/>
      <c r="E9" s="165"/>
      <c r="F9" s="165"/>
      <c r="G9" s="297">
        <f>SUM(G8+D9-E9-F9)</f>
        <v>2392.9</v>
      </c>
      <c r="I9" s="116"/>
      <c r="J9" s="117"/>
      <c r="K9" s="117"/>
      <c r="L9" s="165"/>
      <c r="M9" s="165"/>
      <c r="N9" s="165"/>
      <c r="O9" s="297">
        <f>SUM(O8+L9-M9-N9)</f>
        <v>125.38</v>
      </c>
    </row>
    <row r="10" spans="1:15" x14ac:dyDescent="0.2">
      <c r="A10" s="116"/>
      <c r="B10" s="117"/>
      <c r="C10" s="185"/>
      <c r="D10" s="165"/>
      <c r="E10" s="165"/>
      <c r="F10" s="165"/>
      <c r="G10" s="297">
        <f>SUM(G9+D10-E10-F10)</f>
        <v>2392.9</v>
      </c>
      <c r="I10" s="116"/>
      <c r="J10" s="117"/>
      <c r="K10" s="117"/>
      <c r="L10" s="165"/>
      <c r="M10" s="165"/>
      <c r="N10" s="165"/>
      <c r="O10" s="297">
        <f>SUM(O9+L10-M10-N10)</f>
        <v>125.38</v>
      </c>
    </row>
    <row r="11" spans="1:15" x14ac:dyDescent="0.2">
      <c r="A11" s="116"/>
      <c r="B11" s="117"/>
      <c r="C11" s="117"/>
      <c r="D11" s="165"/>
      <c r="E11" s="165"/>
      <c r="F11" s="165"/>
      <c r="G11" s="297">
        <f>SUM(G10+D11-E11-F11)</f>
        <v>2392.9</v>
      </c>
      <c r="I11" s="116"/>
      <c r="J11" s="117"/>
      <c r="K11" s="117"/>
      <c r="L11" s="165"/>
      <c r="M11" s="165"/>
      <c r="N11" s="165"/>
      <c r="O11" s="297">
        <f>SUM(O10+L11-M11-N11)</f>
        <v>125.38</v>
      </c>
    </row>
    <row r="12" spans="1:15" x14ac:dyDescent="0.2">
      <c r="A12" s="116"/>
      <c r="B12" s="117"/>
      <c r="C12" s="117"/>
      <c r="D12" s="165"/>
      <c r="E12" s="165"/>
      <c r="F12" s="165"/>
      <c r="G12" s="297">
        <f t="shared" ref="G12:G36" si="0">SUM(G11+D12-E12-F12)</f>
        <v>2392.9</v>
      </c>
      <c r="I12" s="116"/>
      <c r="J12" s="117"/>
      <c r="K12" s="117"/>
      <c r="L12" s="165"/>
      <c r="M12" s="165"/>
      <c r="N12" s="165"/>
      <c r="O12" s="297">
        <f t="shared" ref="O12:O36" si="1">SUM(O11+L12-M12-N12)</f>
        <v>125.38</v>
      </c>
    </row>
    <row r="13" spans="1:15" x14ac:dyDescent="0.2">
      <c r="A13" s="116"/>
      <c r="B13" s="117"/>
      <c r="C13" s="185"/>
      <c r="D13" s="165"/>
      <c r="E13" s="165"/>
      <c r="F13" s="165"/>
      <c r="G13" s="297">
        <f t="shared" si="0"/>
        <v>2392.9</v>
      </c>
      <c r="I13" s="116"/>
      <c r="J13" s="117"/>
      <c r="K13" s="185"/>
      <c r="L13" s="165"/>
      <c r="M13" s="165"/>
      <c r="N13" s="165"/>
      <c r="O13" s="297">
        <f t="shared" si="1"/>
        <v>125.38</v>
      </c>
    </row>
    <row r="14" spans="1:15" x14ac:dyDescent="0.2">
      <c r="A14" s="116"/>
      <c r="B14" s="117"/>
      <c r="C14" s="185"/>
      <c r="D14" s="165"/>
      <c r="E14" s="165"/>
      <c r="F14" s="165"/>
      <c r="G14" s="297">
        <f t="shared" si="0"/>
        <v>2392.9</v>
      </c>
      <c r="I14" s="116"/>
      <c r="J14" s="117"/>
      <c r="K14" s="185"/>
      <c r="L14" s="165"/>
      <c r="M14" s="165"/>
      <c r="N14" s="165"/>
      <c r="O14" s="297">
        <f t="shared" si="1"/>
        <v>125.38</v>
      </c>
    </row>
    <row r="15" spans="1:15" x14ac:dyDescent="0.2">
      <c r="A15" s="116"/>
      <c r="B15" s="117"/>
      <c r="C15" s="185"/>
      <c r="D15" s="165"/>
      <c r="E15" s="165"/>
      <c r="F15" s="165"/>
      <c r="G15" s="298">
        <f t="shared" si="0"/>
        <v>2392.9</v>
      </c>
      <c r="I15" s="116"/>
      <c r="J15" s="117"/>
      <c r="K15" s="185"/>
      <c r="L15" s="165"/>
      <c r="M15" s="165"/>
      <c r="N15" s="165"/>
      <c r="O15" s="298">
        <f t="shared" si="1"/>
        <v>125.38</v>
      </c>
    </row>
    <row r="16" spans="1:15" x14ac:dyDescent="0.2">
      <c r="A16" s="116"/>
      <c r="B16" s="117"/>
      <c r="C16" s="185"/>
      <c r="D16" s="165"/>
      <c r="E16" s="165"/>
      <c r="F16" s="165"/>
      <c r="G16" s="298">
        <f t="shared" si="0"/>
        <v>2392.9</v>
      </c>
      <c r="I16" s="116"/>
      <c r="J16" s="117"/>
      <c r="K16" s="185"/>
      <c r="L16" s="165"/>
      <c r="M16" s="165"/>
      <c r="N16" s="165"/>
      <c r="O16" s="298">
        <f t="shared" si="1"/>
        <v>125.38</v>
      </c>
    </row>
    <row r="17" spans="1:15" x14ac:dyDescent="0.2">
      <c r="A17" s="116"/>
      <c r="B17" s="117"/>
      <c r="C17" s="185"/>
      <c r="D17" s="165"/>
      <c r="E17" s="165"/>
      <c r="F17" s="165"/>
      <c r="G17" s="298">
        <f t="shared" si="0"/>
        <v>2392.9</v>
      </c>
      <c r="I17" s="116"/>
      <c r="J17" s="117"/>
      <c r="K17" s="185"/>
      <c r="L17" s="165"/>
      <c r="M17" s="165"/>
      <c r="N17" s="165"/>
      <c r="O17" s="298">
        <f t="shared" si="1"/>
        <v>125.38</v>
      </c>
    </row>
    <row r="18" spans="1:15" x14ac:dyDescent="0.2">
      <c r="A18" s="116"/>
      <c r="B18" s="117"/>
      <c r="C18" s="185"/>
      <c r="D18" s="165"/>
      <c r="E18" s="165"/>
      <c r="F18" s="165"/>
      <c r="G18" s="298">
        <f t="shared" si="0"/>
        <v>2392.9</v>
      </c>
      <c r="I18" s="116"/>
      <c r="J18" s="117"/>
      <c r="K18" s="185"/>
      <c r="L18" s="165"/>
      <c r="M18" s="165"/>
      <c r="N18" s="165"/>
      <c r="O18" s="298">
        <f t="shared" si="1"/>
        <v>125.38</v>
      </c>
    </row>
    <row r="19" spans="1:15" x14ac:dyDescent="0.2">
      <c r="A19" s="116"/>
      <c r="B19" s="117"/>
      <c r="C19" s="117"/>
      <c r="D19" s="165"/>
      <c r="E19" s="165"/>
      <c r="F19" s="165"/>
      <c r="G19" s="298">
        <f t="shared" si="0"/>
        <v>2392.9</v>
      </c>
      <c r="I19" s="116"/>
      <c r="J19" s="117"/>
      <c r="K19" s="117"/>
      <c r="L19" s="165"/>
      <c r="M19" s="165"/>
      <c r="N19" s="165"/>
      <c r="O19" s="298">
        <f t="shared" si="1"/>
        <v>125.38</v>
      </c>
    </row>
    <row r="20" spans="1:15" x14ac:dyDescent="0.2">
      <c r="A20" s="120"/>
      <c r="B20" s="117"/>
      <c r="C20" s="117"/>
      <c r="D20" s="165"/>
      <c r="E20" s="165"/>
      <c r="F20" s="165"/>
      <c r="G20" s="298">
        <f t="shared" si="0"/>
        <v>2392.9</v>
      </c>
      <c r="I20" s="120"/>
      <c r="J20" s="117"/>
      <c r="K20" s="117"/>
      <c r="L20" s="165"/>
      <c r="M20" s="165"/>
      <c r="N20" s="165"/>
      <c r="O20" s="298">
        <f t="shared" si="1"/>
        <v>125.38</v>
      </c>
    </row>
    <row r="21" spans="1:15" x14ac:dyDescent="0.2">
      <c r="A21" s="120"/>
      <c r="B21" s="117"/>
      <c r="C21" s="117"/>
      <c r="D21" s="165"/>
      <c r="E21" s="165"/>
      <c r="F21" s="165"/>
      <c r="G21" s="298">
        <f t="shared" si="0"/>
        <v>2392.9</v>
      </c>
      <c r="I21" s="120"/>
      <c r="J21" s="117"/>
      <c r="K21" s="117"/>
      <c r="L21" s="165"/>
      <c r="M21" s="165"/>
      <c r="N21" s="165"/>
      <c r="O21" s="298">
        <f t="shared" si="1"/>
        <v>125.38</v>
      </c>
    </row>
    <row r="22" spans="1:15" x14ac:dyDescent="0.2">
      <c r="A22" s="116"/>
      <c r="B22" s="117"/>
      <c r="C22" s="117"/>
      <c r="D22" s="165"/>
      <c r="E22" s="165"/>
      <c r="F22" s="165"/>
      <c r="G22" s="298">
        <f t="shared" si="0"/>
        <v>2392.9</v>
      </c>
      <c r="I22" s="116"/>
      <c r="J22" s="117"/>
      <c r="K22" s="117"/>
      <c r="L22" s="165"/>
      <c r="M22" s="165"/>
      <c r="N22" s="165"/>
      <c r="O22" s="298">
        <f t="shared" si="1"/>
        <v>125.38</v>
      </c>
    </row>
    <row r="23" spans="1:15" x14ac:dyDescent="0.2">
      <c r="A23" s="116"/>
      <c r="B23" s="117"/>
      <c r="C23" s="117"/>
      <c r="D23" s="165"/>
      <c r="E23" s="165"/>
      <c r="F23" s="165"/>
      <c r="G23" s="298">
        <f t="shared" si="0"/>
        <v>2392.9</v>
      </c>
      <c r="I23" s="116"/>
      <c r="J23" s="117"/>
      <c r="K23" s="117"/>
      <c r="L23" s="165"/>
      <c r="M23" s="165"/>
      <c r="N23" s="165"/>
      <c r="O23" s="298">
        <f t="shared" si="1"/>
        <v>125.38</v>
      </c>
    </row>
    <row r="24" spans="1:15" x14ac:dyDescent="0.2">
      <c r="A24" s="116"/>
      <c r="B24" s="117"/>
      <c r="C24" s="117"/>
      <c r="D24" s="165"/>
      <c r="E24" s="165"/>
      <c r="F24" s="165"/>
      <c r="G24" s="298">
        <f t="shared" si="0"/>
        <v>2392.9</v>
      </c>
      <c r="I24" s="116"/>
      <c r="J24" s="117"/>
      <c r="K24" s="117"/>
      <c r="L24" s="165"/>
      <c r="M24" s="165"/>
      <c r="N24" s="165"/>
      <c r="O24" s="298">
        <f t="shared" si="1"/>
        <v>125.38</v>
      </c>
    </row>
    <row r="25" spans="1:15" x14ac:dyDescent="0.2">
      <c r="A25" s="116"/>
      <c r="B25" s="117"/>
      <c r="C25" s="117"/>
      <c r="D25" s="165"/>
      <c r="E25" s="165"/>
      <c r="F25" s="165"/>
      <c r="G25" s="298">
        <f t="shared" si="0"/>
        <v>2392.9</v>
      </c>
      <c r="I25" s="116"/>
      <c r="J25" s="117"/>
      <c r="K25" s="117"/>
      <c r="L25" s="165"/>
      <c r="M25" s="165"/>
      <c r="N25" s="165"/>
      <c r="O25" s="298">
        <f t="shared" si="1"/>
        <v>125.38</v>
      </c>
    </row>
    <row r="26" spans="1:15" x14ac:dyDescent="0.2">
      <c r="A26" s="116"/>
      <c r="B26" s="117"/>
      <c r="C26" s="185"/>
      <c r="D26" s="165"/>
      <c r="E26" s="165"/>
      <c r="F26" s="165"/>
      <c r="G26" s="298">
        <f t="shared" si="0"/>
        <v>2392.9</v>
      </c>
      <c r="I26" s="116"/>
      <c r="J26" s="117"/>
      <c r="K26" s="185"/>
      <c r="L26" s="165"/>
      <c r="M26" s="165"/>
      <c r="N26" s="165"/>
      <c r="O26" s="298">
        <f t="shared" si="1"/>
        <v>125.38</v>
      </c>
    </row>
    <row r="27" spans="1:15" x14ac:dyDescent="0.2">
      <c r="A27" s="116"/>
      <c r="B27" s="117"/>
      <c r="C27" s="185"/>
      <c r="D27" s="165"/>
      <c r="E27" s="165"/>
      <c r="F27" s="165"/>
      <c r="G27" s="298">
        <f t="shared" si="0"/>
        <v>2392.9</v>
      </c>
      <c r="I27" s="116"/>
      <c r="J27" s="117"/>
      <c r="K27" s="185"/>
      <c r="L27" s="165"/>
      <c r="M27" s="165"/>
      <c r="N27" s="165"/>
      <c r="O27" s="298">
        <f t="shared" si="1"/>
        <v>125.38</v>
      </c>
    </row>
    <row r="28" spans="1:15" x14ac:dyDescent="0.2">
      <c r="A28" s="116"/>
      <c r="B28" s="117"/>
      <c r="C28" s="185"/>
      <c r="D28" s="165"/>
      <c r="E28" s="165"/>
      <c r="F28" s="165"/>
      <c r="G28" s="298">
        <f t="shared" si="0"/>
        <v>2392.9</v>
      </c>
      <c r="I28" s="116"/>
      <c r="J28" s="117"/>
      <c r="K28" s="185"/>
      <c r="L28" s="165"/>
      <c r="M28" s="165"/>
      <c r="N28" s="165"/>
      <c r="O28" s="298">
        <f t="shared" si="1"/>
        <v>125.38</v>
      </c>
    </row>
    <row r="29" spans="1:15" x14ac:dyDescent="0.2">
      <c r="A29" s="116"/>
      <c r="B29" s="117"/>
      <c r="C29" s="185"/>
      <c r="D29" s="165"/>
      <c r="E29" s="165"/>
      <c r="F29" s="165"/>
      <c r="G29" s="298">
        <f t="shared" si="0"/>
        <v>2392.9</v>
      </c>
      <c r="I29" s="116"/>
      <c r="J29" s="117"/>
      <c r="K29" s="185"/>
      <c r="L29" s="165"/>
      <c r="M29" s="165"/>
      <c r="N29" s="165"/>
      <c r="O29" s="298">
        <f t="shared" si="1"/>
        <v>125.38</v>
      </c>
    </row>
    <row r="30" spans="1:15" x14ac:dyDescent="0.2">
      <c r="A30" s="116"/>
      <c r="B30" s="117"/>
      <c r="C30" s="185"/>
      <c r="D30" s="165"/>
      <c r="E30" s="165"/>
      <c r="F30" s="165"/>
      <c r="G30" s="298">
        <f t="shared" si="0"/>
        <v>2392.9</v>
      </c>
      <c r="I30" s="116"/>
      <c r="J30" s="117"/>
      <c r="K30" s="185"/>
      <c r="L30" s="165"/>
      <c r="M30" s="165"/>
      <c r="N30" s="165"/>
      <c r="O30" s="298">
        <f t="shared" si="1"/>
        <v>125.38</v>
      </c>
    </row>
    <row r="31" spans="1:15" x14ac:dyDescent="0.2">
      <c r="A31" s="116"/>
      <c r="B31" s="117"/>
      <c r="C31" s="185"/>
      <c r="D31" s="165"/>
      <c r="E31" s="165"/>
      <c r="F31" s="165"/>
      <c r="G31" s="298">
        <f t="shared" si="0"/>
        <v>2392.9</v>
      </c>
      <c r="I31" s="116"/>
      <c r="J31" s="117"/>
      <c r="K31" s="185"/>
      <c r="L31" s="165"/>
      <c r="M31" s="165"/>
      <c r="N31" s="165"/>
      <c r="O31" s="298">
        <f t="shared" si="1"/>
        <v>125.38</v>
      </c>
    </row>
    <row r="32" spans="1:15" x14ac:dyDescent="0.2">
      <c r="A32" s="116"/>
      <c r="B32" s="117"/>
      <c r="C32" s="117"/>
      <c r="D32" s="165"/>
      <c r="E32" s="165"/>
      <c r="F32" s="165"/>
      <c r="G32" s="298">
        <f t="shared" si="0"/>
        <v>2392.9</v>
      </c>
      <c r="I32" s="116"/>
      <c r="J32" s="117"/>
      <c r="K32" s="117"/>
      <c r="L32" s="165"/>
      <c r="M32" s="165"/>
      <c r="N32" s="165"/>
      <c r="O32" s="298">
        <f t="shared" si="1"/>
        <v>125.38</v>
      </c>
    </row>
    <row r="33" spans="1:15" x14ac:dyDescent="0.2">
      <c r="A33" s="120"/>
      <c r="B33" s="117"/>
      <c r="C33" s="117"/>
      <c r="D33" s="165"/>
      <c r="E33" s="165"/>
      <c r="F33" s="165"/>
      <c r="G33" s="298">
        <f t="shared" si="0"/>
        <v>2392.9</v>
      </c>
      <c r="I33" s="120"/>
      <c r="J33" s="117"/>
      <c r="K33" s="117"/>
      <c r="L33" s="165"/>
      <c r="M33" s="165"/>
      <c r="N33" s="165"/>
      <c r="O33" s="298">
        <f t="shared" si="1"/>
        <v>125.38</v>
      </c>
    </row>
    <row r="34" spans="1:15" x14ac:dyDescent="0.2">
      <c r="A34" s="120"/>
      <c r="B34" s="117"/>
      <c r="C34" s="117"/>
      <c r="D34" s="165"/>
      <c r="E34" s="165"/>
      <c r="F34" s="165"/>
      <c r="G34" s="298">
        <f t="shared" si="0"/>
        <v>2392.9</v>
      </c>
      <c r="I34" s="120"/>
      <c r="J34" s="117"/>
      <c r="K34" s="117"/>
      <c r="L34" s="165"/>
      <c r="M34" s="165"/>
      <c r="N34" s="165"/>
      <c r="O34" s="298">
        <f t="shared" si="1"/>
        <v>125.38</v>
      </c>
    </row>
    <row r="35" spans="1:15" x14ac:dyDescent="0.2">
      <c r="A35" s="120"/>
      <c r="B35" s="117"/>
      <c r="C35" s="117"/>
      <c r="D35" s="165"/>
      <c r="E35" s="165"/>
      <c r="F35" s="165"/>
      <c r="G35" s="298">
        <f t="shared" si="0"/>
        <v>2392.9</v>
      </c>
      <c r="I35" s="120"/>
      <c r="J35" s="117"/>
      <c r="K35" s="117"/>
      <c r="L35" s="165"/>
      <c r="M35" s="165"/>
      <c r="N35" s="165"/>
      <c r="O35" s="298">
        <f t="shared" si="1"/>
        <v>125.38</v>
      </c>
    </row>
    <row r="36" spans="1:15" ht="13.5" thickBot="1" x14ac:dyDescent="0.25">
      <c r="A36" s="121"/>
      <c r="B36" s="122"/>
      <c r="C36" s="122"/>
      <c r="D36" s="167"/>
      <c r="E36" s="167"/>
      <c r="F36" s="167"/>
      <c r="G36" s="298">
        <f t="shared" si="0"/>
        <v>2392.9</v>
      </c>
      <c r="I36" s="121"/>
      <c r="J36" s="122"/>
      <c r="K36" s="122"/>
      <c r="L36" s="167"/>
      <c r="M36" s="167"/>
      <c r="N36" s="167"/>
      <c r="O36" s="298">
        <f t="shared" si="1"/>
        <v>125.38</v>
      </c>
    </row>
    <row r="37" spans="1:15" ht="13.5" thickTop="1" x14ac:dyDescent="0.2">
      <c r="A37" s="113"/>
      <c r="B37" s="114"/>
      <c r="C37" s="114"/>
      <c r="D37" s="161"/>
      <c r="E37" s="161"/>
      <c r="F37" s="161"/>
      <c r="G37" s="162"/>
      <c r="I37" s="113"/>
      <c r="J37" s="114"/>
      <c r="K37" s="114"/>
      <c r="L37" s="161"/>
      <c r="M37" s="161"/>
      <c r="N37" s="161"/>
      <c r="O37" s="162"/>
    </row>
    <row r="38" spans="1:15" ht="13.5" thickBot="1" x14ac:dyDescent="0.25">
      <c r="A38" s="124" t="s">
        <v>3</v>
      </c>
      <c r="B38" s="125"/>
      <c r="C38" s="125"/>
      <c r="D38" s="159"/>
      <c r="E38" s="169"/>
      <c r="F38" s="169"/>
      <c r="G38" s="209">
        <f>G36</f>
        <v>2392.9</v>
      </c>
      <c r="I38" s="124" t="s">
        <v>3</v>
      </c>
      <c r="J38" s="125"/>
      <c r="K38" s="125"/>
      <c r="L38" s="159"/>
      <c r="M38" s="169"/>
      <c r="N38" s="169"/>
      <c r="O38" s="209">
        <f>O36</f>
        <v>125.38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B00-000000000000}"/>
  </hyperlinks>
  <pageMargins left="0.7" right="0.7" top="0.75" bottom="0.75" header="0.3" footer="0.3"/>
  <pageSetup scale="9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6"/>
  <sheetViews>
    <sheetView zoomScaleNormal="100" workbookViewId="0">
      <selection activeCell="I9" sqref="I9"/>
    </sheetView>
  </sheetViews>
  <sheetFormatPr defaultRowHeight="12.75" x14ac:dyDescent="0.2"/>
  <cols>
    <col min="1" max="1" width="11.5703125" style="246" bestFit="1" customWidth="1"/>
    <col min="2" max="2" width="11.5703125" style="246" customWidth="1"/>
    <col min="3" max="3" width="25.7109375" style="246" customWidth="1"/>
    <col min="4" max="4" width="11.85546875" style="246" customWidth="1"/>
    <col min="5" max="5" width="5.42578125" style="246" bestFit="1" customWidth="1"/>
    <col min="6" max="6" width="12" style="246" bestFit="1" customWidth="1"/>
    <col min="7" max="7" width="11.5703125" style="246" bestFit="1" customWidth="1"/>
    <col min="8" max="8" width="9.140625" style="246"/>
    <col min="9" max="9" width="11.5703125" style="246" bestFit="1" customWidth="1"/>
    <col min="10" max="10" width="11.5703125" style="246" customWidth="1"/>
    <col min="11" max="11" width="25.7109375" style="246" customWidth="1"/>
    <col min="12" max="12" width="11.85546875" style="246" customWidth="1"/>
    <col min="13" max="13" width="5.42578125" style="246" bestFit="1" customWidth="1"/>
    <col min="14" max="14" width="12" style="246" bestFit="1" customWidth="1"/>
    <col min="15" max="15" width="11.5703125" style="246" bestFit="1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89</v>
      </c>
      <c r="B4" s="363"/>
      <c r="C4" s="363"/>
      <c r="D4" s="363"/>
      <c r="E4" s="363"/>
      <c r="F4" s="363"/>
      <c r="G4" s="364"/>
      <c r="I4" s="362" t="s">
        <v>89</v>
      </c>
      <c r="J4" s="363"/>
      <c r="K4" s="363"/>
      <c r="L4" s="363"/>
      <c r="M4" s="363"/>
      <c r="N4" s="363"/>
      <c r="O4" s="364"/>
    </row>
    <row r="5" spans="1:15" ht="18" customHeight="1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183" t="s">
        <v>70</v>
      </c>
      <c r="D8" s="248"/>
      <c r="E8" s="248"/>
      <c r="F8" s="248"/>
      <c r="G8" s="249">
        <f>D8</f>
        <v>0</v>
      </c>
      <c r="I8" s="247"/>
      <c r="J8" s="238"/>
      <c r="K8" s="238" t="s">
        <v>74</v>
      </c>
      <c r="L8" s="248">
        <v>1339.5</v>
      </c>
      <c r="M8" s="248"/>
      <c r="N8" s="248"/>
      <c r="O8" s="249">
        <f>L8</f>
        <v>1339.5</v>
      </c>
    </row>
    <row r="9" spans="1:15" x14ac:dyDescent="0.2">
      <c r="A9" s="150"/>
      <c r="B9" s="232"/>
      <c r="C9" s="270"/>
      <c r="D9" s="151"/>
      <c r="E9" s="151"/>
      <c r="F9" s="152"/>
      <c r="G9" s="153">
        <f t="shared" ref="G9:G24" si="0">SUM(G8+D9-E9-F9)</f>
        <v>0</v>
      </c>
      <c r="I9" s="116"/>
      <c r="J9" s="185"/>
      <c r="K9" s="271"/>
      <c r="L9" s="154"/>
      <c r="M9" s="154"/>
      <c r="N9" s="155"/>
      <c r="O9" s="153">
        <f t="shared" ref="O9:O24" si="1">SUM(O8+L9-M9-N9)</f>
        <v>1339.5</v>
      </c>
    </row>
    <row r="10" spans="1:15" x14ac:dyDescent="0.2">
      <c r="A10" s="150"/>
      <c r="B10" s="232"/>
      <c r="C10" s="270"/>
      <c r="D10" s="151"/>
      <c r="E10" s="151"/>
      <c r="F10" s="152"/>
      <c r="G10" s="153">
        <f t="shared" si="0"/>
        <v>0</v>
      </c>
      <c r="I10" s="150"/>
      <c r="J10" s="232"/>
      <c r="K10" s="270"/>
      <c r="L10" s="151"/>
      <c r="M10" s="151"/>
      <c r="N10" s="152"/>
      <c r="O10" s="153">
        <f t="shared" si="1"/>
        <v>1339.5</v>
      </c>
    </row>
    <row r="11" spans="1:15" x14ac:dyDescent="0.2">
      <c r="A11" s="150"/>
      <c r="B11" s="232"/>
      <c r="C11" s="270"/>
      <c r="D11" s="151"/>
      <c r="E11" s="151"/>
      <c r="F11" s="152"/>
      <c r="G11" s="153">
        <f t="shared" si="0"/>
        <v>0</v>
      </c>
      <c r="I11" s="150"/>
      <c r="J11" s="232"/>
      <c r="K11" s="270"/>
      <c r="L11" s="151"/>
      <c r="M11" s="151"/>
      <c r="N11" s="152"/>
      <c r="O11" s="153">
        <f t="shared" si="1"/>
        <v>1339.5</v>
      </c>
    </row>
    <row r="12" spans="1:15" x14ac:dyDescent="0.2">
      <c r="A12" s="116"/>
      <c r="B12" s="185"/>
      <c r="C12" s="271"/>
      <c r="D12" s="154"/>
      <c r="E12" s="154"/>
      <c r="F12" s="155"/>
      <c r="G12" s="153">
        <f t="shared" si="0"/>
        <v>0</v>
      </c>
      <c r="H12" s="170"/>
      <c r="I12" s="116"/>
      <c r="J12" s="185"/>
      <c r="K12" s="271"/>
      <c r="L12" s="154"/>
      <c r="M12" s="154"/>
      <c r="N12" s="155"/>
      <c r="O12" s="153">
        <f t="shared" si="1"/>
        <v>1339.5</v>
      </c>
    </row>
    <row r="13" spans="1:15" x14ac:dyDescent="0.2">
      <c r="A13" s="116"/>
      <c r="B13" s="185"/>
      <c r="C13" s="271"/>
      <c r="D13" s="154"/>
      <c r="E13" s="154"/>
      <c r="F13" s="155"/>
      <c r="G13" s="153">
        <f t="shared" si="0"/>
        <v>0</v>
      </c>
      <c r="H13" s="170"/>
      <c r="I13" s="116"/>
      <c r="J13" s="185"/>
      <c r="K13" s="271"/>
      <c r="L13" s="154"/>
      <c r="M13" s="154"/>
      <c r="N13" s="155"/>
      <c r="O13" s="153">
        <f t="shared" si="1"/>
        <v>1339.5</v>
      </c>
    </row>
    <row r="14" spans="1:15" x14ac:dyDescent="0.2">
      <c r="A14" s="116"/>
      <c r="B14" s="117"/>
      <c r="C14" s="272"/>
      <c r="D14" s="154"/>
      <c r="E14" s="154"/>
      <c r="F14" s="155"/>
      <c r="G14" s="153">
        <f t="shared" si="0"/>
        <v>0</v>
      </c>
      <c r="H14" s="170"/>
      <c r="I14" s="116"/>
      <c r="J14" s="117"/>
      <c r="K14" s="272"/>
      <c r="L14" s="154"/>
      <c r="M14" s="154"/>
      <c r="N14" s="155"/>
      <c r="O14" s="153">
        <f t="shared" si="1"/>
        <v>1339.5</v>
      </c>
    </row>
    <row r="15" spans="1:15" ht="12" customHeight="1" x14ac:dyDescent="0.2">
      <c r="A15" s="116"/>
      <c r="B15" s="119"/>
      <c r="C15" s="271"/>
      <c r="D15" s="154"/>
      <c r="E15" s="154"/>
      <c r="F15" s="155"/>
      <c r="G15" s="153">
        <f t="shared" si="0"/>
        <v>0</v>
      </c>
      <c r="I15" s="116"/>
      <c r="J15" s="119"/>
      <c r="K15" s="271"/>
      <c r="L15" s="154"/>
      <c r="M15" s="154"/>
      <c r="N15" s="155"/>
      <c r="O15" s="153">
        <f t="shared" si="1"/>
        <v>1339.5</v>
      </c>
    </row>
    <row r="16" spans="1:15" ht="12" customHeight="1" x14ac:dyDescent="0.2">
      <c r="A16" s="116"/>
      <c r="B16" s="185"/>
      <c r="C16" s="271"/>
      <c r="D16" s="154"/>
      <c r="E16" s="154"/>
      <c r="F16" s="155"/>
      <c r="G16" s="153">
        <f t="shared" si="0"/>
        <v>0</v>
      </c>
      <c r="I16" s="116"/>
      <c r="J16" s="185"/>
      <c r="K16" s="271"/>
      <c r="L16" s="154"/>
      <c r="M16" s="154"/>
      <c r="N16" s="155"/>
      <c r="O16" s="153">
        <f t="shared" si="1"/>
        <v>1339.5</v>
      </c>
    </row>
    <row r="17" spans="1:15" x14ac:dyDescent="0.2">
      <c r="A17" s="120"/>
      <c r="B17" s="117"/>
      <c r="C17" s="117"/>
      <c r="D17" s="154"/>
      <c r="E17" s="154"/>
      <c r="F17" s="154"/>
      <c r="G17" s="153">
        <f t="shared" si="0"/>
        <v>0</v>
      </c>
      <c r="I17" s="120"/>
      <c r="J17" s="117"/>
      <c r="K17" s="117"/>
      <c r="L17" s="154"/>
      <c r="M17" s="154"/>
      <c r="N17" s="154"/>
      <c r="O17" s="153">
        <f t="shared" si="1"/>
        <v>1339.5</v>
      </c>
    </row>
    <row r="18" spans="1:15" x14ac:dyDescent="0.2">
      <c r="A18" s="120"/>
      <c r="B18" s="117"/>
      <c r="C18" s="117"/>
      <c r="D18" s="154"/>
      <c r="E18" s="154"/>
      <c r="F18" s="154"/>
      <c r="G18" s="153">
        <f t="shared" si="0"/>
        <v>0</v>
      </c>
      <c r="I18" s="120"/>
      <c r="J18" s="117"/>
      <c r="K18" s="117"/>
      <c r="L18" s="154"/>
      <c r="M18" s="154"/>
      <c r="N18" s="154"/>
      <c r="O18" s="153">
        <f t="shared" si="1"/>
        <v>1339.5</v>
      </c>
    </row>
    <row r="19" spans="1:15" x14ac:dyDescent="0.2">
      <c r="A19" s="120"/>
      <c r="B19" s="117"/>
      <c r="C19" s="117"/>
      <c r="D19" s="154"/>
      <c r="E19" s="154"/>
      <c r="F19" s="154"/>
      <c r="G19" s="153">
        <f t="shared" si="0"/>
        <v>0</v>
      </c>
      <c r="I19" s="120"/>
      <c r="J19" s="117"/>
      <c r="K19" s="117"/>
      <c r="L19" s="154"/>
      <c r="M19" s="154"/>
      <c r="N19" s="154"/>
      <c r="O19" s="153">
        <f t="shared" si="1"/>
        <v>1339.5</v>
      </c>
    </row>
    <row r="20" spans="1:15" x14ac:dyDescent="0.2">
      <c r="A20" s="120"/>
      <c r="B20" s="117"/>
      <c r="C20" s="117"/>
      <c r="D20" s="154"/>
      <c r="E20" s="154"/>
      <c r="F20" s="154"/>
      <c r="G20" s="153">
        <f t="shared" si="0"/>
        <v>0</v>
      </c>
      <c r="I20" s="120"/>
      <c r="J20" s="117"/>
      <c r="K20" s="117"/>
      <c r="L20" s="154"/>
      <c r="M20" s="154"/>
      <c r="N20" s="154"/>
      <c r="O20" s="153">
        <f t="shared" si="1"/>
        <v>1339.5</v>
      </c>
    </row>
    <row r="21" spans="1:15" x14ac:dyDescent="0.2">
      <c r="A21" s="120"/>
      <c r="B21" s="117"/>
      <c r="C21" s="117"/>
      <c r="D21" s="154"/>
      <c r="E21" s="154"/>
      <c r="F21" s="154"/>
      <c r="G21" s="153">
        <f t="shared" si="0"/>
        <v>0</v>
      </c>
      <c r="I21" s="120"/>
      <c r="J21" s="117"/>
      <c r="K21" s="117"/>
      <c r="L21" s="154"/>
      <c r="M21" s="154"/>
      <c r="N21" s="154"/>
      <c r="O21" s="153">
        <f t="shared" si="1"/>
        <v>1339.5</v>
      </c>
    </row>
    <row r="22" spans="1:15" x14ac:dyDescent="0.2">
      <c r="A22" s="120"/>
      <c r="B22" s="117"/>
      <c r="C22" s="117"/>
      <c r="D22" s="154"/>
      <c r="E22" s="154"/>
      <c r="F22" s="154"/>
      <c r="G22" s="153">
        <f t="shared" si="0"/>
        <v>0</v>
      </c>
      <c r="I22" s="120"/>
      <c r="J22" s="117"/>
      <c r="K22" s="117"/>
      <c r="L22" s="154"/>
      <c r="M22" s="154"/>
      <c r="N22" s="154"/>
      <c r="O22" s="153">
        <f t="shared" si="1"/>
        <v>1339.5</v>
      </c>
    </row>
    <row r="23" spans="1:15" x14ac:dyDescent="0.2">
      <c r="A23" s="120"/>
      <c r="B23" s="117"/>
      <c r="C23" s="117"/>
      <c r="D23" s="154"/>
      <c r="E23" s="154"/>
      <c r="F23" s="154"/>
      <c r="G23" s="153">
        <f t="shared" si="0"/>
        <v>0</v>
      </c>
      <c r="I23" s="120"/>
      <c r="J23" s="117"/>
      <c r="K23" s="117"/>
      <c r="L23" s="154"/>
      <c r="M23" s="154"/>
      <c r="N23" s="154"/>
      <c r="O23" s="153">
        <f t="shared" si="1"/>
        <v>1339.5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3">
        <f t="shared" si="0"/>
        <v>0</v>
      </c>
      <c r="I24" s="121"/>
      <c r="J24" s="122"/>
      <c r="K24" s="122"/>
      <c r="L24" s="157"/>
      <c r="M24" s="157"/>
      <c r="N24" s="157"/>
      <c r="O24" s="153">
        <f t="shared" si="1"/>
        <v>1339.5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0</v>
      </c>
      <c r="I26" s="124" t="s">
        <v>3</v>
      </c>
      <c r="J26" s="125"/>
      <c r="K26" s="125"/>
      <c r="L26" s="159"/>
      <c r="M26" s="160"/>
      <c r="N26" s="160"/>
      <c r="O26" s="209">
        <f>O24</f>
        <v>1339.5</v>
      </c>
    </row>
  </sheetData>
  <mergeCells count="12">
    <mergeCell ref="A1:G1"/>
    <mergeCell ref="I1:O1"/>
    <mergeCell ref="A2:G2"/>
    <mergeCell ref="I2:O2"/>
    <mergeCell ref="A3:G3"/>
    <mergeCell ref="I3:O3"/>
    <mergeCell ref="A4:G4"/>
    <mergeCell ref="I4:O4"/>
    <mergeCell ref="A5:G5"/>
    <mergeCell ref="I5:O5"/>
    <mergeCell ref="A6:G6"/>
    <mergeCell ref="I6:O6"/>
  </mergeCells>
  <hyperlinks>
    <hyperlink ref="H1" location="Overall!A1" display="HOME" xr:uid="{00000000-0004-0000-0C00-000000000000}"/>
  </hyperlinks>
  <pageMargins left="0.7" right="0.7" top="0.75" bottom="0.75" header="0.3" footer="0.3"/>
  <pageSetup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O32"/>
  <sheetViews>
    <sheetView topLeftCell="C1" workbookViewId="0">
      <selection activeCell="H1" sqref="H1"/>
    </sheetView>
  </sheetViews>
  <sheetFormatPr defaultRowHeight="12.75" x14ac:dyDescent="0.2"/>
  <cols>
    <col min="1" max="1" width="10.85546875" bestFit="1" customWidth="1"/>
    <col min="2" max="2" width="10.5703125" bestFit="1" customWidth="1"/>
    <col min="3" max="3" width="28.140625" customWidth="1"/>
    <col min="4" max="4" width="10.28515625" bestFit="1" customWidth="1"/>
    <col min="5" max="5" width="5.42578125" bestFit="1" customWidth="1"/>
    <col min="6" max="6" width="13.7109375" customWidth="1"/>
    <col min="7" max="7" width="15.140625" customWidth="1"/>
    <col min="9" max="9" width="10.85546875" bestFit="1" customWidth="1"/>
    <col min="10" max="10" width="10.5703125" bestFit="1" customWidth="1"/>
    <col min="11" max="11" width="28.140625" customWidth="1"/>
    <col min="12" max="12" width="10.28515625" bestFit="1" customWidth="1"/>
    <col min="13" max="13" width="5.42578125" bestFit="1" customWidth="1"/>
    <col min="14" max="14" width="13.7109375" customWidth="1"/>
    <col min="15" max="15" width="15.1406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45</v>
      </c>
      <c r="B4" s="363"/>
      <c r="C4" s="363"/>
      <c r="D4" s="363"/>
      <c r="E4" s="363"/>
      <c r="F4" s="363"/>
      <c r="G4" s="364"/>
      <c r="I4" s="362" t="s">
        <v>45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226" t="s">
        <v>2</v>
      </c>
      <c r="E7" s="251" t="s">
        <v>8</v>
      </c>
      <c r="F7" s="226" t="s">
        <v>5</v>
      </c>
      <c r="G7" s="227" t="s">
        <v>6</v>
      </c>
      <c r="I7" s="146" t="s">
        <v>1</v>
      </c>
      <c r="J7" s="214" t="s">
        <v>12</v>
      </c>
      <c r="K7" s="147" t="s">
        <v>0</v>
      </c>
      <c r="L7" s="226" t="s">
        <v>2</v>
      </c>
      <c r="M7" s="251" t="s">
        <v>8</v>
      </c>
      <c r="N7" s="226" t="s">
        <v>5</v>
      </c>
      <c r="O7" s="227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14"/>
      <c r="J8" s="9"/>
      <c r="K8" s="9" t="s">
        <v>74</v>
      </c>
      <c r="L8" s="74"/>
      <c r="M8" s="74"/>
      <c r="N8" s="75"/>
      <c r="O8" s="249">
        <v>1941.78</v>
      </c>
    </row>
    <row r="9" spans="1:15" x14ac:dyDescent="0.2">
      <c r="A9" s="14"/>
      <c r="B9" s="9"/>
      <c r="C9" s="63"/>
      <c r="D9" s="74"/>
      <c r="E9" s="74"/>
      <c r="F9" s="75"/>
      <c r="G9" s="81">
        <f>SUM(G8+D9-E9-F9)</f>
        <v>0</v>
      </c>
      <c r="I9" s="14">
        <v>43123</v>
      </c>
      <c r="J9" s="9" t="s">
        <v>217</v>
      </c>
      <c r="K9" s="9" t="s">
        <v>218</v>
      </c>
      <c r="L9" s="74"/>
      <c r="M9" s="74"/>
      <c r="N9" s="75">
        <v>24</v>
      </c>
      <c r="O9" s="81">
        <f>SUM(O8+L9-M9-N9)</f>
        <v>1917.78</v>
      </c>
    </row>
    <row r="10" spans="1:15" ht="25.5" x14ac:dyDescent="0.2">
      <c r="A10" s="14"/>
      <c r="B10" s="9"/>
      <c r="C10" s="9"/>
      <c r="D10" s="74"/>
      <c r="E10" s="74"/>
      <c r="F10" s="74"/>
      <c r="G10" s="81">
        <f t="shared" ref="G10:G28" si="0">SUM(G9+D10-E10-F10)</f>
        <v>0</v>
      </c>
      <c r="I10" s="14">
        <v>43143</v>
      </c>
      <c r="J10" s="27" t="s">
        <v>105</v>
      </c>
      <c r="K10" s="321" t="s">
        <v>233</v>
      </c>
      <c r="L10" s="74"/>
      <c r="M10" s="74"/>
      <c r="N10" s="75">
        <v>63</v>
      </c>
      <c r="O10" s="81">
        <f t="shared" ref="O10:O28" si="1">SUM(O9+L10-M10-N10)</f>
        <v>1854.78</v>
      </c>
    </row>
    <row r="11" spans="1:15" x14ac:dyDescent="0.2">
      <c r="A11" s="14"/>
      <c r="B11" s="58"/>
      <c r="C11" s="63"/>
      <c r="D11" s="74"/>
      <c r="E11" s="74"/>
      <c r="F11" s="75"/>
      <c r="G11" s="81">
        <f t="shared" si="0"/>
        <v>0</v>
      </c>
      <c r="I11" s="14">
        <v>43150</v>
      </c>
      <c r="J11" s="63" t="s">
        <v>244</v>
      </c>
      <c r="K11" s="63" t="s">
        <v>243</v>
      </c>
      <c r="L11" s="74"/>
      <c r="M11" s="74"/>
      <c r="N11" s="75">
        <f>82.5-12.37</f>
        <v>70.13</v>
      </c>
      <c r="O11" s="81">
        <f t="shared" si="1"/>
        <v>1784.65</v>
      </c>
    </row>
    <row r="12" spans="1:15" x14ac:dyDescent="0.2">
      <c r="A12" s="14"/>
      <c r="B12" s="9"/>
      <c r="C12" s="9"/>
      <c r="D12" s="74"/>
      <c r="E12" s="74"/>
      <c r="F12" s="75"/>
      <c r="G12" s="81">
        <f t="shared" si="0"/>
        <v>0</v>
      </c>
      <c r="I12" s="14">
        <v>43181</v>
      </c>
      <c r="J12" s="63" t="s">
        <v>267</v>
      </c>
      <c r="K12" s="63" t="s">
        <v>268</v>
      </c>
      <c r="L12" s="74"/>
      <c r="M12" s="74"/>
      <c r="N12" s="75">
        <f>182.5-27.37</f>
        <v>155.13</v>
      </c>
      <c r="O12" s="81">
        <f t="shared" si="1"/>
        <v>1629.52</v>
      </c>
    </row>
    <row r="13" spans="1:15" x14ac:dyDescent="0.2">
      <c r="A13" s="14"/>
      <c r="B13" s="9"/>
      <c r="C13" s="9"/>
      <c r="D13" s="74"/>
      <c r="E13" s="74"/>
      <c r="F13" s="75"/>
      <c r="G13" s="81">
        <f t="shared" si="0"/>
        <v>0</v>
      </c>
      <c r="I13" s="14">
        <v>43186</v>
      </c>
      <c r="J13" s="63" t="s">
        <v>105</v>
      </c>
      <c r="K13" s="63" t="s">
        <v>279</v>
      </c>
      <c r="L13" s="74"/>
      <c r="M13" s="74"/>
      <c r="N13" s="75">
        <v>75</v>
      </c>
      <c r="O13" s="81">
        <f t="shared" si="1"/>
        <v>1554.52</v>
      </c>
    </row>
    <row r="14" spans="1:15" x14ac:dyDescent="0.2">
      <c r="A14" s="14"/>
      <c r="B14" s="9"/>
      <c r="C14" s="9"/>
      <c r="D14" s="74"/>
      <c r="E14" s="74"/>
      <c r="F14" s="75"/>
      <c r="G14" s="81">
        <f t="shared" si="0"/>
        <v>0</v>
      </c>
      <c r="I14" s="14">
        <v>43199</v>
      </c>
      <c r="J14" s="63" t="s">
        <v>286</v>
      </c>
      <c r="K14" s="63" t="s">
        <v>287</v>
      </c>
      <c r="L14" s="74"/>
      <c r="M14" s="74"/>
      <c r="N14" s="75">
        <f>182.5-104.93</f>
        <v>77.569999999999993</v>
      </c>
      <c r="O14" s="81">
        <f t="shared" si="1"/>
        <v>1476.95</v>
      </c>
    </row>
    <row r="15" spans="1:15" x14ac:dyDescent="0.2">
      <c r="A15" s="14"/>
      <c r="B15" s="9"/>
      <c r="C15" s="9"/>
      <c r="D15" s="74"/>
      <c r="E15" s="74"/>
      <c r="F15" s="75"/>
      <c r="G15" s="81">
        <f t="shared" si="0"/>
        <v>0</v>
      </c>
      <c r="I15" s="14">
        <v>43199</v>
      </c>
      <c r="J15" s="63" t="s">
        <v>288</v>
      </c>
      <c r="K15" s="63" t="s">
        <v>289</v>
      </c>
      <c r="L15" s="74"/>
      <c r="M15" s="74"/>
      <c r="N15" s="75">
        <v>76</v>
      </c>
      <c r="O15" s="81">
        <f t="shared" si="1"/>
        <v>1400.95</v>
      </c>
    </row>
    <row r="16" spans="1:15" x14ac:dyDescent="0.2">
      <c r="A16" s="14"/>
      <c r="B16" s="63"/>
      <c r="C16" s="63"/>
      <c r="D16" s="74"/>
      <c r="E16" s="74"/>
      <c r="F16" s="75"/>
      <c r="G16" s="81">
        <f t="shared" si="0"/>
        <v>0</v>
      </c>
      <c r="I16" s="14">
        <v>43206</v>
      </c>
      <c r="J16" s="63">
        <v>11607878</v>
      </c>
      <c r="K16" s="63" t="s">
        <v>318</v>
      </c>
      <c r="L16" s="74"/>
      <c r="M16" s="74"/>
      <c r="N16" s="75">
        <v>500</v>
      </c>
      <c r="O16" s="81">
        <f t="shared" si="1"/>
        <v>900.95</v>
      </c>
    </row>
    <row r="17" spans="1:15" x14ac:dyDescent="0.2">
      <c r="A17" s="14"/>
      <c r="B17" s="63"/>
      <c r="C17" s="63"/>
      <c r="D17" s="74"/>
      <c r="E17" s="74"/>
      <c r="F17" s="75"/>
      <c r="G17" s="81">
        <f t="shared" si="0"/>
        <v>0</v>
      </c>
      <c r="I17" s="14">
        <v>43220</v>
      </c>
      <c r="J17" s="63" t="s">
        <v>105</v>
      </c>
      <c r="K17" s="63" t="s">
        <v>340</v>
      </c>
      <c r="L17" s="74"/>
      <c r="M17" s="74"/>
      <c r="N17" s="75">
        <f>191.29-191.29</f>
        <v>0</v>
      </c>
      <c r="O17" s="81">
        <f t="shared" si="1"/>
        <v>900.95</v>
      </c>
    </row>
    <row r="18" spans="1:15" x14ac:dyDescent="0.2">
      <c r="A18" s="14"/>
      <c r="B18" s="63"/>
      <c r="C18" s="63"/>
      <c r="D18" s="74"/>
      <c r="E18" s="74"/>
      <c r="F18" s="75"/>
      <c r="G18" s="81">
        <f t="shared" si="0"/>
        <v>0</v>
      </c>
      <c r="I18" s="14">
        <v>43220</v>
      </c>
      <c r="J18" s="63" t="s">
        <v>105</v>
      </c>
      <c r="K18" s="63" t="s">
        <v>341</v>
      </c>
      <c r="L18" s="74"/>
      <c r="M18" s="74"/>
      <c r="N18" s="75">
        <v>170.64</v>
      </c>
      <c r="O18" s="81">
        <f t="shared" si="1"/>
        <v>730.31000000000006</v>
      </c>
    </row>
    <row r="19" spans="1:15" x14ac:dyDescent="0.2">
      <c r="A19" s="14"/>
      <c r="B19" s="63"/>
      <c r="C19" s="63"/>
      <c r="D19" s="74"/>
      <c r="E19" s="74"/>
      <c r="F19" s="75"/>
      <c r="G19" s="81">
        <f t="shared" si="0"/>
        <v>0</v>
      </c>
      <c r="I19" s="14">
        <v>43220</v>
      </c>
      <c r="J19" s="63" t="s">
        <v>105</v>
      </c>
      <c r="K19" s="63" t="s">
        <v>342</v>
      </c>
      <c r="L19" s="74"/>
      <c r="M19" s="74"/>
      <c r="N19" s="75">
        <v>19.46</v>
      </c>
      <c r="O19" s="81">
        <f t="shared" si="1"/>
        <v>710.85</v>
      </c>
    </row>
    <row r="20" spans="1:15" x14ac:dyDescent="0.2">
      <c r="A20" s="14"/>
      <c r="B20" s="63"/>
      <c r="C20" s="63"/>
      <c r="D20" s="74"/>
      <c r="E20" s="74"/>
      <c r="F20" s="75"/>
      <c r="G20" s="81">
        <f t="shared" si="0"/>
        <v>0</v>
      </c>
      <c r="I20" s="14">
        <v>43220</v>
      </c>
      <c r="J20" s="63" t="s">
        <v>105</v>
      </c>
      <c r="K20" s="63" t="s">
        <v>343</v>
      </c>
      <c r="L20" s="74"/>
      <c r="M20" s="74"/>
      <c r="N20" s="75">
        <v>33</v>
      </c>
      <c r="O20" s="81">
        <f t="shared" si="1"/>
        <v>677.85</v>
      </c>
    </row>
    <row r="21" spans="1:15" x14ac:dyDescent="0.2">
      <c r="A21" s="14"/>
      <c r="B21" s="63"/>
      <c r="C21" s="63"/>
      <c r="D21" s="74"/>
      <c r="E21" s="74"/>
      <c r="F21" s="75"/>
      <c r="G21" s="81">
        <f t="shared" si="0"/>
        <v>0</v>
      </c>
      <c r="I21" s="14">
        <v>43220</v>
      </c>
      <c r="J21" s="63" t="s">
        <v>105</v>
      </c>
      <c r="K21" s="63" t="s">
        <v>344</v>
      </c>
      <c r="L21" s="74"/>
      <c r="M21" s="74"/>
      <c r="N21" s="75">
        <v>55.86</v>
      </c>
      <c r="O21" s="81">
        <f t="shared" si="1"/>
        <v>621.99</v>
      </c>
    </row>
    <row r="22" spans="1:15" x14ac:dyDescent="0.2">
      <c r="A22" s="14"/>
      <c r="B22" s="63"/>
      <c r="C22" s="63"/>
      <c r="D22" s="74"/>
      <c r="E22" s="74"/>
      <c r="F22" s="75"/>
      <c r="G22" s="81">
        <f t="shared" si="0"/>
        <v>0</v>
      </c>
      <c r="I22" s="14">
        <v>43220</v>
      </c>
      <c r="J22" s="63" t="s">
        <v>105</v>
      </c>
      <c r="K22" s="63" t="s">
        <v>342</v>
      </c>
      <c r="L22" s="74"/>
      <c r="M22" s="74"/>
      <c r="N22" s="75">
        <v>351.23</v>
      </c>
      <c r="O22" s="81">
        <f t="shared" si="1"/>
        <v>270.76</v>
      </c>
    </row>
    <row r="23" spans="1:15" x14ac:dyDescent="0.2">
      <c r="A23" s="14"/>
      <c r="B23" s="63"/>
      <c r="C23" s="63"/>
      <c r="D23" s="74"/>
      <c r="E23" s="74"/>
      <c r="F23" s="75"/>
      <c r="G23" s="81">
        <f t="shared" si="0"/>
        <v>0</v>
      </c>
      <c r="I23" s="14"/>
      <c r="J23" s="63" t="s">
        <v>114</v>
      </c>
      <c r="K23" s="63"/>
      <c r="L23" s="74"/>
      <c r="M23" s="74"/>
      <c r="N23" s="75"/>
      <c r="O23" s="81">
        <f t="shared" si="1"/>
        <v>270.76</v>
      </c>
    </row>
    <row r="24" spans="1:15" x14ac:dyDescent="0.2">
      <c r="A24" s="16"/>
      <c r="B24" s="9"/>
      <c r="C24" s="9"/>
      <c r="D24" s="74"/>
      <c r="E24" s="74"/>
      <c r="F24" s="75"/>
      <c r="G24" s="81">
        <f t="shared" si="0"/>
        <v>0</v>
      </c>
      <c r="I24" s="16"/>
      <c r="J24" s="9"/>
      <c r="K24" s="9"/>
      <c r="L24" s="74"/>
      <c r="M24" s="74"/>
      <c r="N24" s="75"/>
      <c r="O24" s="81">
        <f t="shared" si="1"/>
        <v>270.76</v>
      </c>
    </row>
    <row r="25" spans="1:15" x14ac:dyDescent="0.2">
      <c r="A25" s="9"/>
      <c r="B25" s="9"/>
      <c r="C25" s="9"/>
      <c r="D25" s="74"/>
      <c r="E25" s="74"/>
      <c r="F25" s="74"/>
      <c r="G25" s="81">
        <f t="shared" si="0"/>
        <v>0</v>
      </c>
      <c r="I25" s="9"/>
      <c r="J25" s="9"/>
      <c r="K25" s="9"/>
      <c r="L25" s="74"/>
      <c r="M25" s="74"/>
      <c r="N25" s="74"/>
      <c r="O25" s="81">
        <f t="shared" si="1"/>
        <v>270.76</v>
      </c>
    </row>
    <row r="26" spans="1:15" x14ac:dyDescent="0.2">
      <c r="A26" s="9"/>
      <c r="B26" s="9"/>
      <c r="C26" s="9"/>
      <c r="D26" s="74"/>
      <c r="E26" s="74"/>
      <c r="F26" s="74"/>
      <c r="G26" s="81">
        <f t="shared" si="0"/>
        <v>0</v>
      </c>
      <c r="I26" s="9"/>
      <c r="J26" s="9"/>
      <c r="K26" s="9"/>
      <c r="L26" s="74"/>
      <c r="M26" s="74"/>
      <c r="N26" s="74"/>
      <c r="O26" s="81">
        <f t="shared" si="1"/>
        <v>270.76</v>
      </c>
    </row>
    <row r="27" spans="1:15" x14ac:dyDescent="0.2">
      <c r="A27" s="9"/>
      <c r="B27" s="9"/>
      <c r="C27" s="9"/>
      <c r="D27" s="74"/>
      <c r="E27" s="74"/>
      <c r="F27" s="74"/>
      <c r="G27" s="81">
        <f t="shared" si="0"/>
        <v>0</v>
      </c>
      <c r="I27" s="9"/>
      <c r="J27" s="9"/>
      <c r="K27" s="9"/>
      <c r="L27" s="74"/>
      <c r="M27" s="74"/>
      <c r="N27" s="74"/>
      <c r="O27" s="81">
        <f t="shared" si="1"/>
        <v>270.76</v>
      </c>
    </row>
    <row r="28" spans="1:15" ht="13.5" thickBot="1" x14ac:dyDescent="0.25">
      <c r="A28" s="37"/>
      <c r="B28" s="37"/>
      <c r="C28" s="37"/>
      <c r="D28" s="82"/>
      <c r="E28" s="82"/>
      <c r="F28" s="82"/>
      <c r="G28" s="81">
        <f t="shared" si="0"/>
        <v>0</v>
      </c>
      <c r="I28" s="37"/>
      <c r="J28" s="37"/>
      <c r="K28" s="37"/>
      <c r="L28" s="82"/>
      <c r="M28" s="82"/>
      <c r="N28" s="82"/>
      <c r="O28" s="81">
        <f t="shared" si="1"/>
        <v>270.76</v>
      </c>
    </row>
    <row r="29" spans="1:15" ht="13.5" thickTop="1" x14ac:dyDescent="0.2">
      <c r="A29" s="40"/>
      <c r="B29" s="41"/>
      <c r="C29" s="41"/>
      <c r="D29" s="77"/>
      <c r="E29" s="77"/>
      <c r="F29" s="77"/>
      <c r="G29" s="78"/>
      <c r="I29" s="40"/>
      <c r="J29" s="41"/>
      <c r="K29" s="41"/>
      <c r="L29" s="77"/>
      <c r="M29" s="77"/>
      <c r="N29" s="77"/>
      <c r="O29" s="78"/>
    </row>
    <row r="30" spans="1:15" ht="13.5" thickBot="1" x14ac:dyDescent="0.25">
      <c r="A30" s="42" t="s">
        <v>3</v>
      </c>
      <c r="B30" s="43"/>
      <c r="C30" s="43"/>
      <c r="D30" s="76"/>
      <c r="E30" s="84"/>
      <c r="F30" s="84"/>
      <c r="G30" s="211">
        <f>G28</f>
        <v>0</v>
      </c>
      <c r="I30" s="42" t="s">
        <v>3</v>
      </c>
      <c r="J30" s="43"/>
      <c r="K30" s="43"/>
      <c r="L30" s="76"/>
      <c r="M30" s="84"/>
      <c r="N30" s="84"/>
      <c r="O30" s="211">
        <f>O28</f>
        <v>270.76</v>
      </c>
    </row>
    <row r="32" spans="1:15" x14ac:dyDescent="0.2">
      <c r="F32" t="s">
        <v>114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O42"/>
  <sheetViews>
    <sheetView workbookViewId="0">
      <selection activeCell="H1" sqref="H1"/>
    </sheetView>
  </sheetViews>
  <sheetFormatPr defaultRowHeight="12.75" x14ac:dyDescent="0.2"/>
  <cols>
    <col min="1" max="1" width="11.28515625" style="127" customWidth="1"/>
    <col min="2" max="2" width="11.42578125" style="127" customWidth="1"/>
    <col min="3" max="3" width="29.42578125" style="127" customWidth="1"/>
    <col min="4" max="4" width="10.28515625" style="127" bestFit="1" customWidth="1"/>
    <col min="5" max="5" width="5.42578125" style="127" bestFit="1" customWidth="1"/>
    <col min="6" max="6" width="9.42578125" style="127" bestFit="1" customWidth="1"/>
    <col min="7" max="7" width="13.42578125" style="127" customWidth="1"/>
    <col min="8" max="8" width="9.140625" style="127"/>
    <col min="9" max="9" width="11.28515625" style="127" customWidth="1"/>
    <col min="10" max="10" width="11.42578125" style="127" customWidth="1"/>
    <col min="11" max="11" width="29.42578125" style="127" customWidth="1"/>
    <col min="12" max="12" width="10.28515625" style="127" bestFit="1" customWidth="1"/>
    <col min="13" max="13" width="5.42578125" style="127" bestFit="1" customWidth="1"/>
    <col min="14" max="14" width="9.42578125" style="127" bestFit="1" customWidth="1"/>
    <col min="15" max="15" width="13.42578125" style="127" customWidth="1"/>
    <col min="16" max="16384" width="9.140625" style="127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47</v>
      </c>
      <c r="B4" s="363"/>
      <c r="C4" s="363"/>
      <c r="D4" s="363"/>
      <c r="E4" s="363"/>
      <c r="F4" s="363"/>
      <c r="G4" s="364"/>
      <c r="I4" s="362" t="s">
        <v>47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1901.73</v>
      </c>
      <c r="I8" s="117"/>
      <c r="J8" s="117"/>
      <c r="K8" s="117" t="s">
        <v>74</v>
      </c>
      <c r="L8" s="165"/>
      <c r="M8" s="165"/>
      <c r="N8" s="165"/>
      <c r="O8" s="249">
        <v>231</v>
      </c>
    </row>
    <row r="9" spans="1:15" x14ac:dyDescent="0.2">
      <c r="A9" s="150">
        <v>43036</v>
      </c>
      <c r="B9" s="232" t="s">
        <v>140</v>
      </c>
      <c r="C9" s="232" t="s">
        <v>141</v>
      </c>
      <c r="D9" s="163"/>
      <c r="E9" s="163"/>
      <c r="F9" s="320">
        <v>184.75</v>
      </c>
      <c r="G9" s="164">
        <f>SUM(G8+D9-E9-F9)</f>
        <v>1716.98</v>
      </c>
      <c r="I9" s="188">
        <v>43124</v>
      </c>
      <c r="J9" s="117" t="s">
        <v>219</v>
      </c>
      <c r="K9" s="117" t="s">
        <v>220</v>
      </c>
      <c r="L9" s="165"/>
      <c r="M9" s="165"/>
      <c r="N9" s="186">
        <f>68.46-10.27</f>
        <v>58.19</v>
      </c>
      <c r="O9" s="164">
        <f>SUM(O8+L9-M9-N9)</f>
        <v>172.81</v>
      </c>
    </row>
    <row r="10" spans="1:15" x14ac:dyDescent="0.2">
      <c r="A10" s="116"/>
      <c r="B10" s="117"/>
      <c r="C10" s="185"/>
      <c r="D10" s="165"/>
      <c r="E10" s="165"/>
      <c r="F10" s="166"/>
      <c r="G10" s="164">
        <f>SUM(G9+D10-E10-F10)</f>
        <v>1716.98</v>
      </c>
      <c r="I10" s="188">
        <v>43152</v>
      </c>
      <c r="J10" s="117" t="s">
        <v>254</v>
      </c>
      <c r="K10" s="117" t="s">
        <v>255</v>
      </c>
      <c r="L10" s="165"/>
      <c r="M10" s="165"/>
      <c r="N10" s="165">
        <v>164</v>
      </c>
      <c r="O10" s="164">
        <f>SUM(O9+L10-M10-N10)</f>
        <v>8.8100000000000023</v>
      </c>
    </row>
    <row r="11" spans="1:15" x14ac:dyDescent="0.2">
      <c r="A11" s="116"/>
      <c r="B11" s="185"/>
      <c r="C11" s="185"/>
      <c r="D11" s="165"/>
      <c r="E11" s="165"/>
      <c r="F11" s="166"/>
      <c r="G11" s="164">
        <f>SUM(G10+D11-E11-F11)</f>
        <v>1716.98</v>
      </c>
      <c r="I11" s="188"/>
      <c r="J11" s="117"/>
      <c r="K11" s="117"/>
      <c r="L11" s="165"/>
      <c r="M11" s="165"/>
      <c r="N11" s="165"/>
      <c r="O11" s="164">
        <f>SUM(O10+L11-M11-N11)</f>
        <v>8.8100000000000023</v>
      </c>
    </row>
    <row r="12" spans="1:15" x14ac:dyDescent="0.2">
      <c r="A12" s="116"/>
      <c r="B12" s="185"/>
      <c r="C12" s="185"/>
      <c r="D12" s="165"/>
      <c r="E12" s="165"/>
      <c r="F12" s="166"/>
      <c r="G12" s="164">
        <f t="shared" ref="G12:G19" si="0">SUM(G11+D12-E12-F12)</f>
        <v>1716.98</v>
      </c>
      <c r="I12" s="188"/>
      <c r="J12" s="117"/>
      <c r="K12" s="117"/>
      <c r="L12" s="165"/>
      <c r="M12" s="165"/>
      <c r="N12" s="165"/>
      <c r="O12" s="164">
        <f t="shared" ref="O12:O19" si="1">SUM(O11+L12-M12-N12)</f>
        <v>8.8100000000000023</v>
      </c>
    </row>
    <row r="13" spans="1:15" x14ac:dyDescent="0.2">
      <c r="A13" s="116"/>
      <c r="B13" s="185"/>
      <c r="C13" s="185"/>
      <c r="D13" s="165"/>
      <c r="E13" s="165"/>
      <c r="F13" s="166"/>
      <c r="G13" s="164">
        <f t="shared" si="0"/>
        <v>1716.98</v>
      </c>
      <c r="I13" s="188"/>
      <c r="J13" s="117"/>
      <c r="K13" s="117"/>
      <c r="L13" s="165"/>
      <c r="M13" s="165"/>
      <c r="N13" s="165"/>
      <c r="O13" s="164">
        <f t="shared" si="1"/>
        <v>8.8100000000000023</v>
      </c>
    </row>
    <row r="14" spans="1:15" x14ac:dyDescent="0.2">
      <c r="A14" s="116"/>
      <c r="B14" s="117"/>
      <c r="C14" s="185"/>
      <c r="D14" s="165"/>
      <c r="E14" s="165"/>
      <c r="F14" s="166"/>
      <c r="G14" s="164">
        <f t="shared" si="0"/>
        <v>1716.98</v>
      </c>
      <c r="I14" s="188"/>
      <c r="J14" s="117"/>
      <c r="K14" s="117"/>
      <c r="L14" s="165"/>
      <c r="M14" s="165"/>
      <c r="N14" s="165"/>
      <c r="O14" s="164">
        <f t="shared" si="1"/>
        <v>8.8100000000000023</v>
      </c>
    </row>
    <row r="15" spans="1:15" x14ac:dyDescent="0.2">
      <c r="A15" s="116"/>
      <c r="B15" s="117"/>
      <c r="C15" s="185"/>
      <c r="D15" s="165"/>
      <c r="E15" s="165"/>
      <c r="F15" s="166"/>
      <c r="G15" s="164">
        <f t="shared" si="0"/>
        <v>1716.98</v>
      </c>
      <c r="I15" s="188"/>
      <c r="J15" s="117"/>
      <c r="K15" s="185"/>
      <c r="L15" s="165"/>
      <c r="M15" s="165"/>
      <c r="N15" s="165"/>
      <c r="O15" s="164">
        <f t="shared" si="1"/>
        <v>8.8100000000000023</v>
      </c>
    </row>
    <row r="16" spans="1:15" x14ac:dyDescent="0.2">
      <c r="A16" s="116"/>
      <c r="B16" s="117"/>
      <c r="C16" s="185"/>
      <c r="D16" s="165"/>
      <c r="E16" s="165"/>
      <c r="F16" s="166"/>
      <c r="G16" s="164">
        <f t="shared" si="0"/>
        <v>1716.98</v>
      </c>
      <c r="I16" s="188"/>
      <c r="J16" s="185"/>
      <c r="K16" s="185"/>
      <c r="L16" s="165"/>
      <c r="M16" s="165"/>
      <c r="N16" s="165"/>
      <c r="O16" s="164">
        <f t="shared" si="1"/>
        <v>8.8100000000000023</v>
      </c>
    </row>
    <row r="17" spans="1:15" x14ac:dyDescent="0.2">
      <c r="A17" s="116"/>
      <c r="B17" s="117"/>
      <c r="C17" s="117"/>
      <c r="D17" s="165"/>
      <c r="E17" s="165"/>
      <c r="F17" s="166"/>
      <c r="G17" s="164">
        <f t="shared" si="0"/>
        <v>1716.98</v>
      </c>
      <c r="I17" s="188"/>
      <c r="J17" s="117"/>
      <c r="K17" s="117"/>
      <c r="L17" s="165"/>
      <c r="M17" s="165"/>
      <c r="N17" s="166"/>
      <c r="O17" s="164">
        <f t="shared" si="1"/>
        <v>8.8100000000000023</v>
      </c>
    </row>
    <row r="18" spans="1:15" s="141" customFormat="1" x14ac:dyDescent="0.2">
      <c r="A18" s="116"/>
      <c r="B18" s="117"/>
      <c r="C18" s="117"/>
      <c r="D18" s="165"/>
      <c r="E18" s="165"/>
      <c r="F18" s="166"/>
      <c r="G18" s="164">
        <f t="shared" si="0"/>
        <v>1716.98</v>
      </c>
      <c r="H18" s="170"/>
      <c r="I18" s="188"/>
      <c r="J18" s="117"/>
      <c r="K18" s="117"/>
      <c r="L18" s="165"/>
      <c r="M18" s="165"/>
      <c r="N18" s="166"/>
      <c r="O18" s="164">
        <f t="shared" si="1"/>
        <v>8.8100000000000023</v>
      </c>
    </row>
    <row r="19" spans="1:15" s="141" customFormat="1" x14ac:dyDescent="0.2">
      <c r="A19" s="116"/>
      <c r="B19" s="117"/>
      <c r="C19" s="117"/>
      <c r="D19" s="165"/>
      <c r="E19" s="165"/>
      <c r="F19" s="166"/>
      <c r="G19" s="164">
        <f t="shared" si="0"/>
        <v>1716.98</v>
      </c>
      <c r="H19" s="170"/>
      <c r="I19" s="188"/>
      <c r="J19" s="117"/>
      <c r="K19" s="117"/>
      <c r="L19" s="165"/>
      <c r="M19" s="165"/>
      <c r="N19" s="166"/>
      <c r="O19" s="164">
        <f t="shared" si="1"/>
        <v>8.8100000000000023</v>
      </c>
    </row>
    <row r="20" spans="1:15" x14ac:dyDescent="0.2">
      <c r="A20" s="116"/>
      <c r="B20" s="117"/>
      <c r="C20" s="117"/>
      <c r="D20" s="165"/>
      <c r="E20" s="165"/>
      <c r="F20" s="166"/>
      <c r="G20" s="164">
        <f t="shared" ref="G20:G39" si="2">SUM(G19+D19-E19-F19)</f>
        <v>1716.98</v>
      </c>
      <c r="I20" s="188"/>
      <c r="J20" s="117"/>
      <c r="K20" s="117"/>
      <c r="L20" s="165"/>
      <c r="M20" s="165"/>
      <c r="N20" s="166"/>
      <c r="O20" s="164">
        <f t="shared" ref="O20:O39" si="3">SUM(O19+L19-M19-N19)</f>
        <v>8.8100000000000023</v>
      </c>
    </row>
    <row r="21" spans="1:15" x14ac:dyDescent="0.2">
      <c r="A21" s="116"/>
      <c r="B21" s="185"/>
      <c r="C21" s="185"/>
      <c r="D21" s="165"/>
      <c r="E21" s="165"/>
      <c r="F21" s="166"/>
      <c r="G21" s="164">
        <f t="shared" si="2"/>
        <v>1716.98</v>
      </c>
      <c r="I21" s="188"/>
      <c r="J21" s="185"/>
      <c r="K21" s="185"/>
      <c r="L21" s="165"/>
      <c r="M21" s="165"/>
      <c r="N21" s="166"/>
      <c r="O21" s="164">
        <f t="shared" si="3"/>
        <v>8.8100000000000023</v>
      </c>
    </row>
    <row r="22" spans="1:15" x14ac:dyDescent="0.2">
      <c r="A22" s="116"/>
      <c r="B22" s="119"/>
      <c r="C22" s="185"/>
      <c r="D22" s="165"/>
      <c r="E22" s="165"/>
      <c r="F22" s="166"/>
      <c r="G22" s="164">
        <f t="shared" si="2"/>
        <v>1716.98</v>
      </c>
      <c r="I22" s="188"/>
      <c r="J22" s="119"/>
      <c r="K22" s="185"/>
      <c r="L22" s="165"/>
      <c r="M22" s="165"/>
      <c r="N22" s="166"/>
      <c r="O22" s="164">
        <f t="shared" si="3"/>
        <v>8.8100000000000023</v>
      </c>
    </row>
    <row r="23" spans="1:15" x14ac:dyDescent="0.2">
      <c r="A23" s="116"/>
      <c r="B23" s="119"/>
      <c r="C23" s="185"/>
      <c r="D23" s="165"/>
      <c r="E23" s="165"/>
      <c r="F23" s="166"/>
      <c r="G23" s="164">
        <f t="shared" si="2"/>
        <v>1716.98</v>
      </c>
      <c r="I23" s="188"/>
      <c r="J23" s="119"/>
      <c r="K23" s="185"/>
      <c r="L23" s="165"/>
      <c r="M23" s="165"/>
      <c r="N23" s="166"/>
      <c r="O23" s="164">
        <f t="shared" si="3"/>
        <v>8.8100000000000023</v>
      </c>
    </row>
    <row r="24" spans="1:15" x14ac:dyDescent="0.2">
      <c r="A24" s="116"/>
      <c r="B24" s="117"/>
      <c r="C24" s="117"/>
      <c r="D24" s="165"/>
      <c r="E24" s="165"/>
      <c r="F24" s="166"/>
      <c r="G24" s="164">
        <f t="shared" si="2"/>
        <v>1716.98</v>
      </c>
      <c r="I24" s="188"/>
      <c r="J24" s="117"/>
      <c r="K24" s="117"/>
      <c r="L24" s="165"/>
      <c r="M24" s="165"/>
      <c r="N24" s="166"/>
      <c r="O24" s="164">
        <f t="shared" si="3"/>
        <v>8.8100000000000023</v>
      </c>
    </row>
    <row r="25" spans="1:15" x14ac:dyDescent="0.2">
      <c r="A25" s="116"/>
      <c r="B25" s="117"/>
      <c r="C25" s="117"/>
      <c r="D25" s="165"/>
      <c r="E25" s="165"/>
      <c r="F25" s="165"/>
      <c r="G25" s="164">
        <f t="shared" si="2"/>
        <v>1716.98</v>
      </c>
      <c r="I25" s="188"/>
      <c r="J25" s="117"/>
      <c r="K25" s="117"/>
      <c r="L25" s="165"/>
      <c r="M25" s="165"/>
      <c r="N25" s="165"/>
      <c r="O25" s="164">
        <f t="shared" si="3"/>
        <v>8.8100000000000023</v>
      </c>
    </row>
    <row r="26" spans="1:15" x14ac:dyDescent="0.2">
      <c r="A26" s="188"/>
      <c r="B26" s="117"/>
      <c r="C26" s="117"/>
      <c r="D26" s="165"/>
      <c r="E26" s="165"/>
      <c r="F26" s="165"/>
      <c r="G26" s="164">
        <f t="shared" si="2"/>
        <v>1716.98</v>
      </c>
      <c r="I26" s="188"/>
      <c r="J26" s="117"/>
      <c r="K26" s="117"/>
      <c r="L26" s="165"/>
      <c r="M26" s="165"/>
      <c r="N26" s="165"/>
      <c r="O26" s="164">
        <f t="shared" si="3"/>
        <v>8.8100000000000023</v>
      </c>
    </row>
    <row r="27" spans="1:15" x14ac:dyDescent="0.2">
      <c r="A27" s="188"/>
      <c r="B27" s="117"/>
      <c r="C27" s="117"/>
      <c r="D27" s="165"/>
      <c r="E27" s="165"/>
      <c r="F27" s="165"/>
      <c r="G27" s="164">
        <f t="shared" si="2"/>
        <v>1716.98</v>
      </c>
      <c r="I27" s="188"/>
      <c r="J27" s="117"/>
      <c r="K27" s="117"/>
      <c r="L27" s="165"/>
      <c r="M27" s="165"/>
      <c r="N27" s="165"/>
      <c r="O27" s="164">
        <f t="shared" si="3"/>
        <v>8.8100000000000023</v>
      </c>
    </row>
    <row r="28" spans="1:15" x14ac:dyDescent="0.2">
      <c r="A28" s="117"/>
      <c r="B28" s="117"/>
      <c r="C28" s="117"/>
      <c r="D28" s="165"/>
      <c r="E28" s="165"/>
      <c r="F28" s="165"/>
      <c r="G28" s="164">
        <f t="shared" si="2"/>
        <v>1716.98</v>
      </c>
      <c r="I28" s="117"/>
      <c r="J28" s="117"/>
      <c r="K28" s="117"/>
      <c r="L28" s="165"/>
      <c r="M28" s="165"/>
      <c r="N28" s="165"/>
      <c r="O28" s="164">
        <f t="shared" si="3"/>
        <v>8.8100000000000023</v>
      </c>
    </row>
    <row r="29" spans="1:15" x14ac:dyDescent="0.2">
      <c r="A29" s="117"/>
      <c r="B29" s="117"/>
      <c r="C29" s="117"/>
      <c r="D29" s="165"/>
      <c r="E29" s="165"/>
      <c r="F29" s="165"/>
      <c r="G29" s="164">
        <f t="shared" si="2"/>
        <v>1716.98</v>
      </c>
      <c r="I29" s="117"/>
      <c r="J29" s="117"/>
      <c r="K29" s="117"/>
      <c r="L29" s="165"/>
      <c r="M29" s="165"/>
      <c r="N29" s="165"/>
      <c r="O29" s="164">
        <f t="shared" si="3"/>
        <v>8.8100000000000023</v>
      </c>
    </row>
    <row r="30" spans="1:15" x14ac:dyDescent="0.2">
      <c r="A30" s="188"/>
      <c r="B30" s="117"/>
      <c r="C30" s="117"/>
      <c r="D30" s="165"/>
      <c r="E30" s="165"/>
      <c r="F30" s="165"/>
      <c r="G30" s="164">
        <f t="shared" si="2"/>
        <v>1716.98</v>
      </c>
      <c r="I30" s="188"/>
      <c r="J30" s="117"/>
      <c r="K30" s="117"/>
      <c r="L30" s="165"/>
      <c r="M30" s="165"/>
      <c r="N30" s="165"/>
      <c r="O30" s="164">
        <f t="shared" si="3"/>
        <v>8.8100000000000023</v>
      </c>
    </row>
    <row r="31" spans="1:15" x14ac:dyDescent="0.2">
      <c r="A31" s="188"/>
      <c r="B31" s="117"/>
      <c r="C31" s="117"/>
      <c r="D31" s="165"/>
      <c r="E31" s="165"/>
      <c r="F31" s="165"/>
      <c r="G31" s="164">
        <f t="shared" si="2"/>
        <v>1716.98</v>
      </c>
      <c r="I31" s="188"/>
      <c r="J31" s="117"/>
      <c r="K31" s="117"/>
      <c r="L31" s="165"/>
      <c r="M31" s="165"/>
      <c r="N31" s="165"/>
      <c r="O31" s="164">
        <f t="shared" si="3"/>
        <v>8.8100000000000023</v>
      </c>
    </row>
    <row r="32" spans="1:15" x14ac:dyDescent="0.2">
      <c r="A32" s="188"/>
      <c r="B32" s="117"/>
      <c r="C32" s="117"/>
      <c r="D32" s="165"/>
      <c r="E32" s="165"/>
      <c r="F32" s="165"/>
      <c r="G32" s="164">
        <f t="shared" si="2"/>
        <v>1716.98</v>
      </c>
      <c r="I32" s="188"/>
      <c r="J32" s="117"/>
      <c r="K32" s="117"/>
      <c r="L32" s="165"/>
      <c r="M32" s="165"/>
      <c r="N32" s="165"/>
      <c r="O32" s="164">
        <f t="shared" si="3"/>
        <v>8.8100000000000023</v>
      </c>
    </row>
    <row r="33" spans="1:15" x14ac:dyDescent="0.2">
      <c r="A33" s="188"/>
      <c r="B33" s="117"/>
      <c r="C33" s="117"/>
      <c r="D33" s="165"/>
      <c r="E33" s="165"/>
      <c r="F33" s="165"/>
      <c r="G33" s="164">
        <f t="shared" si="2"/>
        <v>1716.98</v>
      </c>
      <c r="I33" s="188"/>
      <c r="J33" s="117"/>
      <c r="K33" s="117"/>
      <c r="L33" s="165"/>
      <c r="M33" s="165"/>
      <c r="N33" s="165"/>
      <c r="O33" s="164">
        <f t="shared" si="3"/>
        <v>8.8100000000000023</v>
      </c>
    </row>
    <row r="34" spans="1:15" x14ac:dyDescent="0.2">
      <c r="A34" s="188"/>
      <c r="B34" s="117"/>
      <c r="C34" s="117"/>
      <c r="D34" s="165"/>
      <c r="E34" s="165"/>
      <c r="F34" s="165"/>
      <c r="G34" s="164">
        <f t="shared" si="2"/>
        <v>1716.98</v>
      </c>
      <c r="I34" s="188"/>
      <c r="J34" s="117"/>
      <c r="K34" s="117"/>
      <c r="L34" s="165"/>
      <c r="M34" s="165"/>
      <c r="N34" s="165"/>
      <c r="O34" s="164">
        <f t="shared" si="3"/>
        <v>8.8100000000000023</v>
      </c>
    </row>
    <row r="35" spans="1:15" x14ac:dyDescent="0.2">
      <c r="A35" s="188"/>
      <c r="B35" s="117"/>
      <c r="C35" s="117"/>
      <c r="D35" s="165"/>
      <c r="E35" s="165"/>
      <c r="F35" s="165"/>
      <c r="G35" s="164">
        <f t="shared" si="2"/>
        <v>1716.98</v>
      </c>
      <c r="I35" s="188"/>
      <c r="J35" s="117"/>
      <c r="K35" s="117"/>
      <c r="L35" s="165"/>
      <c r="M35" s="165"/>
      <c r="N35" s="165"/>
      <c r="O35" s="164">
        <f t="shared" si="3"/>
        <v>8.8100000000000023</v>
      </c>
    </row>
    <row r="36" spans="1:15" x14ac:dyDescent="0.2">
      <c r="A36" s="188"/>
      <c r="B36" s="117"/>
      <c r="C36" s="185"/>
      <c r="D36" s="165"/>
      <c r="E36" s="165"/>
      <c r="F36" s="165"/>
      <c r="G36" s="164">
        <f t="shared" si="2"/>
        <v>1716.98</v>
      </c>
      <c r="I36" s="188"/>
      <c r="J36" s="117"/>
      <c r="K36" s="185"/>
      <c r="L36" s="165"/>
      <c r="M36" s="165"/>
      <c r="N36" s="165"/>
      <c r="O36" s="164">
        <f t="shared" si="3"/>
        <v>8.8100000000000023</v>
      </c>
    </row>
    <row r="37" spans="1:15" ht="12" customHeight="1" x14ac:dyDescent="0.2">
      <c r="A37" s="188"/>
      <c r="B37" s="185"/>
      <c r="C37" s="185"/>
      <c r="D37" s="165"/>
      <c r="E37" s="165"/>
      <c r="F37" s="165"/>
      <c r="G37" s="164">
        <f t="shared" si="2"/>
        <v>1716.98</v>
      </c>
      <c r="I37" s="188"/>
      <c r="J37" s="185"/>
      <c r="K37" s="185"/>
      <c r="L37" s="165"/>
      <c r="M37" s="165"/>
      <c r="N37" s="165"/>
      <c r="O37" s="164">
        <f t="shared" si="3"/>
        <v>8.8100000000000023</v>
      </c>
    </row>
    <row r="38" spans="1:15" ht="12" customHeight="1" x14ac:dyDescent="0.2">
      <c r="A38" s="117"/>
      <c r="B38" s="117"/>
      <c r="C38" s="117"/>
      <c r="D38" s="165"/>
      <c r="E38" s="165"/>
      <c r="F38" s="165"/>
      <c r="G38" s="164">
        <f t="shared" si="2"/>
        <v>1716.98</v>
      </c>
      <c r="I38" s="117"/>
      <c r="J38" s="117"/>
      <c r="K38" s="117"/>
      <c r="L38" s="165"/>
      <c r="M38" s="165"/>
      <c r="N38" s="165"/>
      <c r="O38" s="164">
        <f t="shared" si="3"/>
        <v>8.8100000000000023</v>
      </c>
    </row>
    <row r="39" spans="1:15" x14ac:dyDescent="0.2">
      <c r="A39" s="117"/>
      <c r="B39" s="117"/>
      <c r="C39" s="117"/>
      <c r="D39" s="165"/>
      <c r="E39" s="165"/>
      <c r="F39" s="165"/>
      <c r="G39" s="164">
        <f t="shared" si="2"/>
        <v>1716.98</v>
      </c>
      <c r="I39" s="117"/>
      <c r="J39" s="117"/>
      <c r="K39" s="117"/>
      <c r="L39" s="165"/>
      <c r="M39" s="165"/>
      <c r="N39" s="165"/>
      <c r="O39" s="164">
        <f t="shared" si="3"/>
        <v>8.8100000000000023</v>
      </c>
    </row>
    <row r="40" spans="1:15" ht="13.5" thickBot="1" x14ac:dyDescent="0.25">
      <c r="A40" s="122"/>
      <c r="B40" s="122"/>
      <c r="C40" s="122"/>
      <c r="D40" s="167"/>
      <c r="E40" s="167"/>
      <c r="F40" s="167"/>
      <c r="G40" s="168">
        <f>SUM(G39+D40-E40-F40)</f>
        <v>1716.98</v>
      </c>
      <c r="I40" s="122"/>
      <c r="J40" s="122"/>
      <c r="K40" s="122"/>
      <c r="L40" s="167"/>
      <c r="M40" s="167"/>
      <c r="N40" s="167"/>
      <c r="O40" s="168">
        <f>SUM(O39+L40-M40-N40)</f>
        <v>8.8100000000000023</v>
      </c>
    </row>
    <row r="41" spans="1:15" ht="13.5" thickTop="1" x14ac:dyDescent="0.2">
      <c r="A41" s="113"/>
      <c r="B41" s="114"/>
      <c r="C41" s="114"/>
      <c r="D41" s="161"/>
      <c r="E41" s="161"/>
      <c r="F41" s="161"/>
      <c r="G41" s="162"/>
      <c r="I41" s="113"/>
      <c r="J41" s="114"/>
      <c r="K41" s="114"/>
      <c r="L41" s="161"/>
      <c r="M41" s="161"/>
      <c r="N41" s="161"/>
      <c r="O41" s="162"/>
    </row>
    <row r="42" spans="1:15" ht="13.5" thickBot="1" x14ac:dyDescent="0.25">
      <c r="A42" s="124" t="s">
        <v>3</v>
      </c>
      <c r="B42" s="125"/>
      <c r="C42" s="125"/>
      <c r="D42" s="159"/>
      <c r="E42" s="169"/>
      <c r="F42" s="169"/>
      <c r="G42" s="209">
        <f>G40</f>
        <v>1716.98</v>
      </c>
      <c r="I42" s="124" t="s">
        <v>3</v>
      </c>
      <c r="J42" s="125"/>
      <c r="K42" s="125"/>
      <c r="L42" s="159"/>
      <c r="M42" s="169"/>
      <c r="N42" s="169"/>
      <c r="O42" s="209">
        <f>O40</f>
        <v>8.8100000000000023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:O26"/>
  <sheetViews>
    <sheetView zoomScaleNormal="100" workbookViewId="0">
      <selection activeCell="H1" sqref="H1"/>
    </sheetView>
  </sheetViews>
  <sheetFormatPr defaultRowHeight="12.75" x14ac:dyDescent="0.2"/>
  <cols>
    <col min="1" max="1" width="11.5703125" style="246" bestFit="1" customWidth="1"/>
    <col min="2" max="2" width="10.7109375" style="246" bestFit="1" customWidth="1"/>
    <col min="3" max="3" width="25.7109375" style="246" customWidth="1"/>
    <col min="4" max="4" width="14.7109375" style="246" customWidth="1"/>
    <col min="5" max="5" width="5.42578125" style="246" bestFit="1" customWidth="1"/>
    <col min="6" max="6" width="12" style="246" bestFit="1" customWidth="1"/>
    <col min="7" max="7" width="11.5703125" style="246" bestFit="1" customWidth="1"/>
    <col min="8" max="8" width="9.140625" style="246"/>
    <col min="9" max="9" width="11.5703125" style="246" bestFit="1" customWidth="1"/>
    <col min="10" max="10" width="10.7109375" style="246" bestFit="1" customWidth="1"/>
    <col min="11" max="11" width="25.7109375" style="246" customWidth="1"/>
    <col min="12" max="12" width="14.7109375" style="246" customWidth="1"/>
    <col min="13" max="13" width="5.42578125" style="246" bestFit="1" customWidth="1"/>
    <col min="14" max="14" width="12" style="246" bestFit="1" customWidth="1"/>
    <col min="15" max="15" width="11.5703125" style="246" bestFit="1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38.25" customHeight="1" x14ac:dyDescent="0.2">
      <c r="A4" s="379" t="s">
        <v>48</v>
      </c>
      <c r="B4" s="380"/>
      <c r="C4" s="380"/>
      <c r="D4" s="380"/>
      <c r="E4" s="380"/>
      <c r="F4" s="380"/>
      <c r="G4" s="381"/>
      <c r="I4" s="379" t="s">
        <v>48</v>
      </c>
      <c r="J4" s="380"/>
      <c r="K4" s="380"/>
      <c r="L4" s="380"/>
      <c r="M4" s="380"/>
      <c r="N4" s="380"/>
      <c r="O4" s="381"/>
    </row>
    <row r="5" spans="1:15" ht="15" customHeight="1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I8" s="294"/>
      <c r="J8" s="232"/>
      <c r="K8" s="232" t="s">
        <v>74</v>
      </c>
      <c r="L8" s="295"/>
      <c r="M8" s="295"/>
      <c r="N8" s="295"/>
      <c r="O8" s="296">
        <f>L8</f>
        <v>0</v>
      </c>
    </row>
    <row r="9" spans="1:15" x14ac:dyDescent="0.2">
      <c r="A9" s="116"/>
      <c r="B9" s="185"/>
      <c r="C9" s="185"/>
      <c r="D9" s="154"/>
      <c r="E9" s="154"/>
      <c r="F9" s="155"/>
      <c r="G9" s="153">
        <f>SUM(G8+D9-E9-F9)</f>
        <v>0</v>
      </c>
      <c r="I9" s="116"/>
      <c r="J9" s="185"/>
      <c r="K9" s="185"/>
      <c r="L9" s="154"/>
      <c r="M9" s="154"/>
      <c r="N9" s="155"/>
      <c r="O9" s="153">
        <f>SUM(O8+L9-M9-N9)</f>
        <v>0</v>
      </c>
    </row>
    <row r="10" spans="1:15" x14ac:dyDescent="0.2">
      <c r="A10" s="120"/>
      <c r="B10" s="117"/>
      <c r="C10" s="117"/>
      <c r="D10" s="154"/>
      <c r="E10" s="154"/>
      <c r="F10" s="154"/>
      <c r="G10" s="153">
        <f t="shared" ref="G10:G14" si="0">SUM(G9+D10-E10-F10)</f>
        <v>0</v>
      </c>
      <c r="I10" s="120"/>
      <c r="J10" s="117"/>
      <c r="K10" s="117"/>
      <c r="L10" s="154"/>
      <c r="M10" s="154"/>
      <c r="N10" s="154"/>
      <c r="O10" s="153">
        <f t="shared" ref="O10:O23" si="1">SUM(O9+L10-M10-N10)</f>
        <v>0</v>
      </c>
    </row>
    <row r="11" spans="1:15" x14ac:dyDescent="0.2">
      <c r="A11" s="120"/>
      <c r="B11" s="117"/>
      <c r="C11" s="117"/>
      <c r="D11" s="154"/>
      <c r="E11" s="154"/>
      <c r="F11" s="154"/>
      <c r="G11" s="153">
        <f t="shared" si="0"/>
        <v>0</v>
      </c>
      <c r="I11" s="120"/>
      <c r="J11" s="117"/>
      <c r="K11" s="117"/>
      <c r="L11" s="154"/>
      <c r="M11" s="154"/>
      <c r="N11" s="154"/>
      <c r="O11" s="153">
        <f t="shared" si="1"/>
        <v>0</v>
      </c>
    </row>
    <row r="12" spans="1:15" x14ac:dyDescent="0.2">
      <c r="A12" s="120"/>
      <c r="B12" s="117"/>
      <c r="C12" s="117"/>
      <c r="D12" s="154"/>
      <c r="E12" s="154"/>
      <c r="F12" s="154"/>
      <c r="G12" s="153">
        <f t="shared" si="0"/>
        <v>0</v>
      </c>
      <c r="I12" s="120"/>
      <c r="J12" s="117"/>
      <c r="K12" s="117"/>
      <c r="L12" s="154"/>
      <c r="M12" s="154"/>
      <c r="N12" s="154"/>
      <c r="O12" s="153">
        <f t="shared" si="1"/>
        <v>0</v>
      </c>
    </row>
    <row r="13" spans="1:15" ht="12" customHeight="1" x14ac:dyDescent="0.2">
      <c r="A13" s="120"/>
      <c r="B13" s="117"/>
      <c r="C13" s="117"/>
      <c r="D13" s="154"/>
      <c r="E13" s="154"/>
      <c r="F13" s="154"/>
      <c r="G13" s="153">
        <f t="shared" si="0"/>
        <v>0</v>
      </c>
      <c r="I13" s="120"/>
      <c r="J13" s="117"/>
      <c r="K13" s="117"/>
      <c r="L13" s="154"/>
      <c r="M13" s="154"/>
      <c r="N13" s="154"/>
      <c r="O13" s="153">
        <f t="shared" si="1"/>
        <v>0</v>
      </c>
    </row>
    <row r="14" spans="1:15" ht="12" customHeight="1" x14ac:dyDescent="0.2">
      <c r="A14" s="120"/>
      <c r="B14" s="117"/>
      <c r="C14" s="117"/>
      <c r="D14" s="154"/>
      <c r="E14" s="154"/>
      <c r="F14" s="154"/>
      <c r="G14" s="153">
        <f t="shared" si="0"/>
        <v>0</v>
      </c>
      <c r="I14" s="120"/>
      <c r="J14" s="117"/>
      <c r="K14" s="117"/>
      <c r="L14" s="154"/>
      <c r="M14" s="154"/>
      <c r="N14" s="154"/>
      <c r="O14" s="153">
        <f t="shared" si="1"/>
        <v>0</v>
      </c>
    </row>
    <row r="15" spans="1:15" x14ac:dyDescent="0.2">
      <c r="A15" s="120"/>
      <c r="B15" s="117"/>
      <c r="C15" s="117"/>
      <c r="D15" s="154"/>
      <c r="E15" s="154"/>
      <c r="F15" s="154"/>
      <c r="G15" s="156">
        <f t="shared" ref="G15:G23" si="2">SUM(G14+D15-E15-F15)</f>
        <v>0</v>
      </c>
      <c r="I15" s="120"/>
      <c r="J15" s="117"/>
      <c r="K15" s="117"/>
      <c r="L15" s="154"/>
      <c r="M15" s="154"/>
      <c r="N15" s="154"/>
      <c r="O15" s="156">
        <f t="shared" si="1"/>
        <v>0</v>
      </c>
    </row>
    <row r="16" spans="1:15" x14ac:dyDescent="0.2">
      <c r="A16" s="120"/>
      <c r="B16" s="117"/>
      <c r="C16" s="117"/>
      <c r="D16" s="154"/>
      <c r="E16" s="154"/>
      <c r="F16" s="154"/>
      <c r="G16" s="156">
        <f t="shared" si="2"/>
        <v>0</v>
      </c>
      <c r="I16" s="120"/>
      <c r="J16" s="117"/>
      <c r="K16" s="117"/>
      <c r="L16" s="154"/>
      <c r="M16" s="154"/>
      <c r="N16" s="154"/>
      <c r="O16" s="156">
        <f t="shared" si="1"/>
        <v>0</v>
      </c>
    </row>
    <row r="17" spans="1:15" x14ac:dyDescent="0.2">
      <c r="A17" s="120"/>
      <c r="B17" s="117"/>
      <c r="C17" s="117"/>
      <c r="D17" s="154"/>
      <c r="E17" s="154"/>
      <c r="F17" s="154"/>
      <c r="G17" s="156">
        <f t="shared" si="2"/>
        <v>0</v>
      </c>
      <c r="I17" s="120"/>
      <c r="J17" s="117"/>
      <c r="K17" s="117"/>
      <c r="L17" s="154"/>
      <c r="M17" s="154"/>
      <c r="N17" s="154"/>
      <c r="O17" s="156">
        <f t="shared" si="1"/>
        <v>0</v>
      </c>
    </row>
    <row r="18" spans="1:15" x14ac:dyDescent="0.2">
      <c r="A18" s="120"/>
      <c r="B18" s="117"/>
      <c r="C18" s="117"/>
      <c r="D18" s="154"/>
      <c r="E18" s="154"/>
      <c r="F18" s="154"/>
      <c r="G18" s="156">
        <f t="shared" si="2"/>
        <v>0</v>
      </c>
      <c r="I18" s="120"/>
      <c r="J18" s="117"/>
      <c r="K18" s="117"/>
      <c r="L18" s="154"/>
      <c r="M18" s="154"/>
      <c r="N18" s="154"/>
      <c r="O18" s="156">
        <f t="shared" si="1"/>
        <v>0</v>
      </c>
    </row>
    <row r="19" spans="1:15" x14ac:dyDescent="0.2">
      <c r="A19" s="120"/>
      <c r="B19" s="117"/>
      <c r="C19" s="117"/>
      <c r="D19" s="154"/>
      <c r="E19" s="154"/>
      <c r="F19" s="154"/>
      <c r="G19" s="156">
        <f t="shared" si="2"/>
        <v>0</v>
      </c>
      <c r="I19" s="120"/>
      <c r="J19" s="117"/>
      <c r="K19" s="117"/>
      <c r="L19" s="154"/>
      <c r="M19" s="154"/>
      <c r="N19" s="154"/>
      <c r="O19" s="156">
        <f t="shared" si="1"/>
        <v>0</v>
      </c>
    </row>
    <row r="20" spans="1:15" x14ac:dyDescent="0.2">
      <c r="A20" s="120"/>
      <c r="B20" s="117"/>
      <c r="C20" s="117"/>
      <c r="D20" s="154"/>
      <c r="E20" s="154"/>
      <c r="F20" s="154"/>
      <c r="G20" s="156">
        <f t="shared" si="2"/>
        <v>0</v>
      </c>
      <c r="I20" s="120"/>
      <c r="J20" s="117"/>
      <c r="K20" s="117"/>
      <c r="L20" s="154"/>
      <c r="M20" s="154"/>
      <c r="N20" s="154"/>
      <c r="O20" s="156">
        <f t="shared" si="1"/>
        <v>0</v>
      </c>
    </row>
    <row r="21" spans="1:15" x14ac:dyDescent="0.2">
      <c r="A21" s="120"/>
      <c r="B21" s="117"/>
      <c r="C21" s="117"/>
      <c r="D21" s="154"/>
      <c r="E21" s="154"/>
      <c r="F21" s="154"/>
      <c r="G21" s="156">
        <f t="shared" si="2"/>
        <v>0</v>
      </c>
      <c r="I21" s="120"/>
      <c r="J21" s="117"/>
      <c r="K21" s="117"/>
      <c r="L21" s="154"/>
      <c r="M21" s="154"/>
      <c r="N21" s="154"/>
      <c r="O21" s="156">
        <f t="shared" si="1"/>
        <v>0</v>
      </c>
    </row>
    <row r="22" spans="1:15" x14ac:dyDescent="0.2">
      <c r="A22" s="120"/>
      <c r="B22" s="117"/>
      <c r="C22" s="117"/>
      <c r="D22" s="154"/>
      <c r="E22" s="154"/>
      <c r="F22" s="154"/>
      <c r="G22" s="156">
        <f t="shared" si="2"/>
        <v>0</v>
      </c>
      <c r="I22" s="120"/>
      <c r="J22" s="117"/>
      <c r="K22" s="117"/>
      <c r="L22" s="154"/>
      <c r="M22" s="154"/>
      <c r="N22" s="154"/>
      <c r="O22" s="156">
        <f t="shared" si="1"/>
        <v>0</v>
      </c>
    </row>
    <row r="23" spans="1:15" x14ac:dyDescent="0.2">
      <c r="A23" s="120"/>
      <c r="B23" s="117"/>
      <c r="C23" s="117"/>
      <c r="D23" s="154"/>
      <c r="E23" s="154"/>
      <c r="F23" s="154"/>
      <c r="G23" s="156">
        <f t="shared" si="2"/>
        <v>0</v>
      </c>
      <c r="I23" s="120"/>
      <c r="J23" s="117"/>
      <c r="K23" s="117"/>
      <c r="L23" s="154"/>
      <c r="M23" s="154"/>
      <c r="N23" s="154"/>
      <c r="O23" s="156">
        <f t="shared" si="1"/>
        <v>0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8">
        <f>SUM(G23+D24-E24-F24)</f>
        <v>0</v>
      </c>
      <c r="I24" s="121"/>
      <c r="J24" s="122"/>
      <c r="K24" s="122"/>
      <c r="L24" s="157"/>
      <c r="M24" s="157"/>
      <c r="N24" s="157"/>
      <c r="O24" s="158">
        <f>SUM(O23+L24-M24-N24)</f>
        <v>0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0</v>
      </c>
      <c r="I26" s="124" t="s">
        <v>3</v>
      </c>
      <c r="J26" s="125"/>
      <c r="K26" s="125"/>
      <c r="L26" s="159"/>
      <c r="M26" s="160"/>
      <c r="N26" s="160"/>
      <c r="O26" s="209">
        <f>O24</f>
        <v>0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F00-000000000000}"/>
  </hyperlinks>
  <printOptions gridLines="1"/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:O29"/>
  <sheetViews>
    <sheetView workbookViewId="0">
      <selection activeCell="H1" sqref="H1"/>
    </sheetView>
  </sheetViews>
  <sheetFormatPr defaultRowHeight="12.75" x14ac:dyDescent="0.2"/>
  <cols>
    <col min="1" max="1" width="10.85546875" bestFit="1" customWidth="1"/>
    <col min="2" max="2" width="10.5703125" bestFit="1" customWidth="1"/>
    <col min="3" max="3" width="28.140625" customWidth="1"/>
    <col min="4" max="4" width="10.28515625" bestFit="1" customWidth="1"/>
    <col min="5" max="5" width="5.42578125" bestFit="1" customWidth="1"/>
    <col min="6" max="6" width="13.7109375" customWidth="1"/>
    <col min="7" max="7" width="15.140625" customWidth="1"/>
    <col min="9" max="9" width="10.85546875" bestFit="1" customWidth="1"/>
    <col min="10" max="10" width="10.5703125" bestFit="1" customWidth="1"/>
    <col min="11" max="11" width="28.140625" customWidth="1"/>
    <col min="12" max="12" width="10.28515625" bestFit="1" customWidth="1"/>
    <col min="13" max="13" width="5.42578125" bestFit="1" customWidth="1"/>
    <col min="14" max="14" width="13.7109375" customWidth="1"/>
    <col min="15" max="15" width="15.1406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49</v>
      </c>
      <c r="B4" s="363"/>
      <c r="C4" s="363"/>
      <c r="D4" s="363"/>
      <c r="E4" s="363"/>
      <c r="F4" s="363"/>
      <c r="G4" s="364"/>
      <c r="I4" s="362" t="s">
        <v>49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226" t="s">
        <v>2</v>
      </c>
      <c r="E7" s="251" t="s">
        <v>8</v>
      </c>
      <c r="F7" s="226" t="s">
        <v>5</v>
      </c>
      <c r="G7" s="227" t="s">
        <v>6</v>
      </c>
      <c r="I7" s="146" t="s">
        <v>1</v>
      </c>
      <c r="J7" s="214" t="s">
        <v>12</v>
      </c>
      <c r="K7" s="147" t="s">
        <v>0</v>
      </c>
      <c r="L7" s="226" t="s">
        <v>2</v>
      </c>
      <c r="M7" s="251" t="s">
        <v>8</v>
      </c>
      <c r="N7" s="226" t="s">
        <v>5</v>
      </c>
      <c r="O7" s="227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14"/>
      <c r="J8" s="9"/>
      <c r="K8" s="9" t="s">
        <v>74</v>
      </c>
      <c r="L8" s="74"/>
      <c r="M8" s="74"/>
      <c r="N8" s="75"/>
      <c r="O8" s="249">
        <f>L8</f>
        <v>0</v>
      </c>
    </row>
    <row r="9" spans="1:15" x14ac:dyDescent="0.2">
      <c r="A9" s="14"/>
      <c r="B9" s="9"/>
      <c r="C9" s="63"/>
      <c r="D9" s="64"/>
      <c r="E9" s="64"/>
      <c r="F9" s="314"/>
      <c r="G9" s="81">
        <f>SUM(G8+D9-E9-F9)</f>
        <v>0</v>
      </c>
      <c r="I9" s="14"/>
      <c r="J9" s="9"/>
      <c r="K9" s="63"/>
      <c r="L9" s="74"/>
      <c r="M9" s="74"/>
      <c r="N9" s="75"/>
      <c r="O9" s="81">
        <f>SUM(O8+L9-M9-N9)</f>
        <v>0</v>
      </c>
    </row>
    <row r="10" spans="1:15" x14ac:dyDescent="0.2">
      <c r="A10" s="14"/>
      <c r="B10" s="9"/>
      <c r="C10" s="9"/>
      <c r="D10" s="74"/>
      <c r="E10" s="74"/>
      <c r="F10" s="74"/>
      <c r="G10" s="81">
        <f t="shared" ref="G10:G27" si="0">SUM(G9+D10-E10-F10)</f>
        <v>0</v>
      </c>
      <c r="I10" s="14"/>
      <c r="J10" s="9"/>
      <c r="K10" s="63"/>
      <c r="L10" s="74"/>
      <c r="M10" s="74"/>
      <c r="N10" s="75"/>
      <c r="O10" s="81">
        <f t="shared" ref="O10:O27" si="1">SUM(O9+L10-M10-N10)</f>
        <v>0</v>
      </c>
    </row>
    <row r="11" spans="1:15" x14ac:dyDescent="0.2">
      <c r="A11" s="14"/>
      <c r="B11" s="58"/>
      <c r="C11" s="63"/>
      <c r="D11" s="74"/>
      <c r="E11" s="74"/>
      <c r="F11" s="75"/>
      <c r="G11" s="81">
        <f t="shared" si="0"/>
        <v>0</v>
      </c>
      <c r="I11" s="16"/>
      <c r="J11" s="9"/>
      <c r="K11" s="9"/>
      <c r="L11" s="74"/>
      <c r="M11" s="74"/>
      <c r="N11" s="75"/>
      <c r="O11" s="81">
        <f t="shared" si="1"/>
        <v>0</v>
      </c>
    </row>
    <row r="12" spans="1:15" x14ac:dyDescent="0.2">
      <c r="A12" s="14"/>
      <c r="B12" s="9"/>
      <c r="C12" s="9"/>
      <c r="D12" s="74"/>
      <c r="E12" s="74"/>
      <c r="F12" s="75"/>
      <c r="G12" s="81">
        <f t="shared" si="0"/>
        <v>0</v>
      </c>
      <c r="I12" s="14"/>
      <c r="J12" s="9"/>
      <c r="K12" s="9"/>
      <c r="L12" s="74"/>
      <c r="M12" s="74"/>
      <c r="N12" s="75"/>
      <c r="O12" s="81">
        <f t="shared" si="1"/>
        <v>0</v>
      </c>
    </row>
    <row r="13" spans="1:15" x14ac:dyDescent="0.2">
      <c r="A13" s="14"/>
      <c r="B13" s="9"/>
      <c r="C13" s="63"/>
      <c r="D13" s="74"/>
      <c r="E13" s="74"/>
      <c r="F13" s="75"/>
      <c r="G13" s="81">
        <f t="shared" si="0"/>
        <v>0</v>
      </c>
      <c r="I13" s="14"/>
      <c r="J13" s="9"/>
      <c r="K13" s="63"/>
      <c r="L13" s="74"/>
      <c r="M13" s="74"/>
      <c r="N13" s="75"/>
      <c r="O13" s="81">
        <f t="shared" si="1"/>
        <v>0</v>
      </c>
    </row>
    <row r="14" spans="1:15" x14ac:dyDescent="0.2">
      <c r="A14" s="14"/>
      <c r="B14" s="9"/>
      <c r="C14" s="9"/>
      <c r="D14" s="74"/>
      <c r="E14" s="74"/>
      <c r="F14" s="75"/>
      <c r="G14" s="81">
        <f t="shared" si="0"/>
        <v>0</v>
      </c>
      <c r="I14" s="14"/>
      <c r="J14" s="9"/>
      <c r="K14" s="9"/>
      <c r="L14" s="74"/>
      <c r="M14" s="74"/>
      <c r="N14" s="75"/>
      <c r="O14" s="81">
        <f t="shared" si="1"/>
        <v>0</v>
      </c>
    </row>
    <row r="15" spans="1:15" x14ac:dyDescent="0.2">
      <c r="A15" s="14"/>
      <c r="B15" s="9"/>
      <c r="C15" s="9"/>
      <c r="D15" s="74"/>
      <c r="E15" s="74"/>
      <c r="F15" s="75"/>
      <c r="G15" s="81">
        <f t="shared" si="0"/>
        <v>0</v>
      </c>
      <c r="I15" s="14"/>
      <c r="J15" s="9"/>
      <c r="K15" s="9"/>
      <c r="L15" s="74"/>
      <c r="M15" s="74"/>
      <c r="N15" s="75"/>
      <c r="O15" s="81">
        <f t="shared" si="1"/>
        <v>0</v>
      </c>
    </row>
    <row r="16" spans="1:15" x14ac:dyDescent="0.2">
      <c r="A16" s="14"/>
      <c r="B16" s="9"/>
      <c r="C16" s="63"/>
      <c r="D16" s="74"/>
      <c r="E16" s="74"/>
      <c r="F16" s="75"/>
      <c r="G16" s="81">
        <f t="shared" si="0"/>
        <v>0</v>
      </c>
      <c r="I16" s="14"/>
      <c r="J16" s="9"/>
      <c r="K16" s="63"/>
      <c r="L16" s="74"/>
      <c r="M16" s="74"/>
      <c r="N16" s="75"/>
      <c r="O16" s="81">
        <f t="shared" si="1"/>
        <v>0</v>
      </c>
    </row>
    <row r="17" spans="1:15" x14ac:dyDescent="0.2">
      <c r="A17" s="14"/>
      <c r="B17" s="9"/>
      <c r="C17" s="63"/>
      <c r="D17" s="74"/>
      <c r="E17" s="74"/>
      <c r="F17" s="75"/>
      <c r="G17" s="81">
        <f t="shared" si="0"/>
        <v>0</v>
      </c>
      <c r="I17" s="14"/>
      <c r="J17" s="9"/>
      <c r="K17" s="63"/>
      <c r="L17" s="74"/>
      <c r="M17" s="74"/>
      <c r="N17" s="75"/>
      <c r="O17" s="81">
        <f t="shared" si="1"/>
        <v>0</v>
      </c>
    </row>
    <row r="18" spans="1:15" x14ac:dyDescent="0.2">
      <c r="A18" s="16"/>
      <c r="B18" s="9"/>
      <c r="C18" s="9"/>
      <c r="D18" s="74"/>
      <c r="E18" s="74"/>
      <c r="F18" s="75"/>
      <c r="G18" s="81">
        <f t="shared" si="0"/>
        <v>0</v>
      </c>
      <c r="I18" s="16"/>
      <c r="J18" s="9"/>
      <c r="K18" s="9"/>
      <c r="L18" s="74"/>
      <c r="M18" s="74"/>
      <c r="N18" s="75"/>
      <c r="O18" s="81">
        <f t="shared" si="1"/>
        <v>0</v>
      </c>
    </row>
    <row r="19" spans="1:15" x14ac:dyDescent="0.2">
      <c r="A19" s="14"/>
      <c r="B19" s="9"/>
      <c r="C19" s="9"/>
      <c r="D19" s="74"/>
      <c r="E19" s="74"/>
      <c r="F19" s="75"/>
      <c r="G19" s="81">
        <f t="shared" si="0"/>
        <v>0</v>
      </c>
      <c r="I19" s="14"/>
      <c r="J19" s="9"/>
      <c r="K19" s="9"/>
      <c r="L19" s="74"/>
      <c r="M19" s="74"/>
      <c r="N19" s="75"/>
      <c r="O19" s="81">
        <f t="shared" si="1"/>
        <v>0</v>
      </c>
    </row>
    <row r="20" spans="1:15" x14ac:dyDescent="0.2">
      <c r="A20" s="9"/>
      <c r="B20" s="9"/>
      <c r="C20" s="9"/>
      <c r="D20" s="74"/>
      <c r="E20" s="74"/>
      <c r="F20" s="74"/>
      <c r="G20" s="81">
        <f t="shared" si="0"/>
        <v>0</v>
      </c>
      <c r="I20" s="9"/>
      <c r="J20" s="9"/>
      <c r="K20" s="9"/>
      <c r="L20" s="74"/>
      <c r="M20" s="74"/>
      <c r="N20" s="74"/>
      <c r="O20" s="81">
        <f t="shared" si="1"/>
        <v>0</v>
      </c>
    </row>
    <row r="21" spans="1:15" x14ac:dyDescent="0.2">
      <c r="A21" s="9"/>
      <c r="B21" s="9"/>
      <c r="C21" s="9"/>
      <c r="D21" s="74"/>
      <c r="E21" s="74"/>
      <c r="F21" s="74"/>
      <c r="G21" s="81">
        <f t="shared" si="0"/>
        <v>0</v>
      </c>
      <c r="I21" s="9"/>
      <c r="J21" s="9"/>
      <c r="K21" s="9"/>
      <c r="L21" s="74"/>
      <c r="M21" s="74"/>
      <c r="N21" s="74"/>
      <c r="O21" s="81">
        <f t="shared" si="1"/>
        <v>0</v>
      </c>
    </row>
    <row r="22" spans="1:15" x14ac:dyDescent="0.2">
      <c r="A22" s="9"/>
      <c r="B22" s="9"/>
      <c r="C22" s="9"/>
      <c r="D22" s="74"/>
      <c r="E22" s="74"/>
      <c r="F22" s="74"/>
      <c r="G22" s="81">
        <f t="shared" si="0"/>
        <v>0</v>
      </c>
      <c r="I22" s="9"/>
      <c r="J22" s="9"/>
      <c r="K22" s="9"/>
      <c r="L22" s="74"/>
      <c r="M22" s="74"/>
      <c r="N22" s="74"/>
      <c r="O22" s="81">
        <f t="shared" si="1"/>
        <v>0</v>
      </c>
    </row>
    <row r="23" spans="1:15" x14ac:dyDescent="0.2">
      <c r="A23" s="9"/>
      <c r="B23" s="9"/>
      <c r="C23" s="9"/>
      <c r="D23" s="74"/>
      <c r="E23" s="74"/>
      <c r="F23" s="74"/>
      <c r="G23" s="81">
        <f t="shared" si="0"/>
        <v>0</v>
      </c>
      <c r="I23" s="9"/>
      <c r="J23" s="9"/>
      <c r="K23" s="9"/>
      <c r="L23" s="74"/>
      <c r="M23" s="74"/>
      <c r="N23" s="74"/>
      <c r="O23" s="81">
        <f t="shared" si="1"/>
        <v>0</v>
      </c>
    </row>
    <row r="24" spans="1:15" x14ac:dyDescent="0.2">
      <c r="A24" s="9"/>
      <c r="B24" s="9"/>
      <c r="C24" s="9"/>
      <c r="D24" s="74"/>
      <c r="E24" s="74"/>
      <c r="F24" s="74"/>
      <c r="G24" s="81">
        <f t="shared" si="0"/>
        <v>0</v>
      </c>
      <c r="I24" s="9"/>
      <c r="J24" s="9"/>
      <c r="K24" s="9"/>
      <c r="L24" s="74"/>
      <c r="M24" s="74"/>
      <c r="N24" s="74"/>
      <c r="O24" s="81">
        <f t="shared" si="1"/>
        <v>0</v>
      </c>
    </row>
    <row r="25" spans="1:15" x14ac:dyDescent="0.2">
      <c r="A25" s="9"/>
      <c r="B25" s="9"/>
      <c r="C25" s="9"/>
      <c r="D25" s="74"/>
      <c r="E25" s="74"/>
      <c r="F25" s="74"/>
      <c r="G25" s="81">
        <f t="shared" si="0"/>
        <v>0</v>
      </c>
      <c r="I25" s="9"/>
      <c r="J25" s="9"/>
      <c r="K25" s="9"/>
      <c r="L25" s="74"/>
      <c r="M25" s="74"/>
      <c r="N25" s="74"/>
      <c r="O25" s="81">
        <f t="shared" si="1"/>
        <v>0</v>
      </c>
    </row>
    <row r="26" spans="1:15" x14ac:dyDescent="0.2">
      <c r="A26" s="9"/>
      <c r="B26" s="9"/>
      <c r="C26" s="9"/>
      <c r="D26" s="74"/>
      <c r="E26" s="74"/>
      <c r="F26" s="74"/>
      <c r="G26" s="81">
        <f t="shared" si="0"/>
        <v>0</v>
      </c>
      <c r="I26" s="9"/>
      <c r="J26" s="9"/>
      <c r="K26" s="9"/>
      <c r="L26" s="74"/>
      <c r="M26" s="74"/>
      <c r="N26" s="74"/>
      <c r="O26" s="81">
        <f t="shared" si="1"/>
        <v>0</v>
      </c>
    </row>
    <row r="27" spans="1:15" ht="13.5" thickBot="1" x14ac:dyDescent="0.25">
      <c r="A27" s="37"/>
      <c r="B27" s="37"/>
      <c r="C27" s="37"/>
      <c r="D27" s="82"/>
      <c r="E27" s="82"/>
      <c r="F27" s="82"/>
      <c r="G27" s="81">
        <f t="shared" si="0"/>
        <v>0</v>
      </c>
      <c r="I27" s="37"/>
      <c r="J27" s="37"/>
      <c r="K27" s="37"/>
      <c r="L27" s="82"/>
      <c r="M27" s="82"/>
      <c r="N27" s="82"/>
      <c r="O27" s="81">
        <f t="shared" si="1"/>
        <v>0</v>
      </c>
    </row>
    <row r="28" spans="1:15" ht="13.5" thickTop="1" x14ac:dyDescent="0.2">
      <c r="A28" s="40"/>
      <c r="B28" s="41"/>
      <c r="C28" s="41"/>
      <c r="D28" s="77"/>
      <c r="E28" s="77"/>
      <c r="F28" s="77"/>
      <c r="G28" s="78"/>
      <c r="I28" s="40"/>
      <c r="J28" s="41"/>
      <c r="K28" s="41"/>
      <c r="L28" s="77"/>
      <c r="M28" s="77"/>
      <c r="N28" s="77"/>
      <c r="O28" s="78"/>
    </row>
    <row r="29" spans="1:15" ht="13.5" thickBot="1" x14ac:dyDescent="0.25">
      <c r="A29" s="42" t="s">
        <v>3</v>
      </c>
      <c r="B29" s="43"/>
      <c r="C29" s="43"/>
      <c r="D29" s="76"/>
      <c r="E29" s="84"/>
      <c r="F29" s="84"/>
      <c r="G29" s="211">
        <f>G27</f>
        <v>0</v>
      </c>
      <c r="I29" s="42" t="s">
        <v>3</v>
      </c>
      <c r="J29" s="43"/>
      <c r="K29" s="43"/>
      <c r="L29" s="76"/>
      <c r="M29" s="84"/>
      <c r="N29" s="84"/>
      <c r="O29" s="211">
        <f>O27</f>
        <v>0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/>
  <dimension ref="A1:Q32"/>
  <sheetViews>
    <sheetView zoomScaleNormal="100" workbookViewId="0">
      <selection sqref="A1:O33"/>
    </sheetView>
  </sheetViews>
  <sheetFormatPr defaultRowHeight="12" customHeight="1" x14ac:dyDescent="0.2"/>
  <cols>
    <col min="1" max="1" width="11.5703125" style="127" bestFit="1" customWidth="1"/>
    <col min="2" max="2" width="10.7109375" style="127" bestFit="1" customWidth="1"/>
    <col min="3" max="3" width="31.85546875" style="127" bestFit="1" customWidth="1"/>
    <col min="4" max="4" width="10.140625" style="127" customWidth="1"/>
    <col min="5" max="5" width="5.42578125" style="127" bestFit="1" customWidth="1"/>
    <col min="6" max="6" width="12" style="127" bestFit="1" customWidth="1"/>
    <col min="7" max="7" width="11.5703125" style="127" bestFit="1" customWidth="1"/>
    <col min="8" max="8" width="9.140625" style="127"/>
    <col min="9" max="9" width="11.5703125" style="127" bestFit="1" customWidth="1"/>
    <col min="10" max="10" width="10.7109375" style="127" bestFit="1" customWidth="1"/>
    <col min="11" max="11" width="31.85546875" style="127" bestFit="1" customWidth="1"/>
    <col min="12" max="12" width="10.140625" style="127" customWidth="1"/>
    <col min="13" max="13" width="5.42578125" style="127" bestFit="1" customWidth="1"/>
    <col min="14" max="14" width="12" style="127" bestFit="1" customWidth="1"/>
    <col min="15" max="15" width="11.5703125" style="127" bestFit="1" customWidth="1"/>
    <col min="16" max="16384" width="9.140625" style="127"/>
  </cols>
  <sheetData>
    <row r="1" spans="1:17" ht="12" customHeight="1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7" ht="12" customHeight="1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7" ht="12" customHeight="1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7" ht="18" customHeight="1" x14ac:dyDescent="0.2">
      <c r="A4" s="362" t="s">
        <v>15</v>
      </c>
      <c r="B4" s="363"/>
      <c r="C4" s="363"/>
      <c r="D4" s="363"/>
      <c r="E4" s="363"/>
      <c r="F4" s="363"/>
      <c r="G4" s="364"/>
      <c r="H4" s="282"/>
      <c r="I4" s="362" t="s">
        <v>15</v>
      </c>
      <c r="J4" s="363"/>
      <c r="K4" s="363"/>
      <c r="L4" s="363"/>
      <c r="M4" s="363"/>
      <c r="N4" s="363"/>
      <c r="O4" s="364"/>
    </row>
    <row r="5" spans="1:17" ht="15" customHeight="1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7" ht="12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7" ht="26.25" thickBot="1" x14ac:dyDescent="0.25">
      <c r="A7" s="175" t="s">
        <v>1</v>
      </c>
      <c r="B7" s="215" t="s">
        <v>12</v>
      </c>
      <c r="C7" s="176" t="s">
        <v>0</v>
      </c>
      <c r="D7" s="177" t="s">
        <v>2</v>
      </c>
      <c r="E7" s="252" t="s">
        <v>8</v>
      </c>
      <c r="F7" s="177" t="s">
        <v>5</v>
      </c>
      <c r="G7" s="178" t="s">
        <v>6</v>
      </c>
      <c r="I7" s="175" t="s">
        <v>1</v>
      </c>
      <c r="J7" s="215" t="s">
        <v>12</v>
      </c>
      <c r="K7" s="176" t="s">
        <v>0</v>
      </c>
      <c r="L7" s="177" t="s">
        <v>2</v>
      </c>
      <c r="M7" s="252" t="s">
        <v>8</v>
      </c>
      <c r="N7" s="177" t="s">
        <v>5</v>
      </c>
      <c r="O7" s="178" t="s">
        <v>6</v>
      </c>
    </row>
    <row r="8" spans="1:17" ht="12" customHeight="1" x14ac:dyDescent="0.2">
      <c r="A8" s="247"/>
      <c r="B8" s="238"/>
      <c r="C8" s="238" t="s">
        <v>83</v>
      </c>
      <c r="D8" s="248"/>
      <c r="E8" s="248"/>
      <c r="F8" s="248"/>
      <c r="G8" s="249">
        <f>D8</f>
        <v>0</v>
      </c>
      <c r="I8" s="247"/>
      <c r="J8" s="238"/>
      <c r="K8" s="9" t="s">
        <v>74</v>
      </c>
      <c r="L8" s="180"/>
      <c r="M8" s="248"/>
      <c r="N8" s="248"/>
      <c r="O8" s="249">
        <v>1208.71</v>
      </c>
    </row>
    <row r="9" spans="1:17" s="141" customFormat="1" ht="12" customHeight="1" x14ac:dyDescent="0.2">
      <c r="A9" s="116"/>
      <c r="B9" s="117"/>
      <c r="C9" s="117"/>
      <c r="D9" s="198"/>
      <c r="E9" s="198"/>
      <c r="F9" s="199"/>
      <c r="G9" s="202">
        <f>SUM(G8+D9-E9-F9)</f>
        <v>0</v>
      </c>
      <c r="H9" s="170"/>
      <c r="I9" s="14">
        <v>43136</v>
      </c>
      <c r="J9" s="9" t="s">
        <v>235</v>
      </c>
      <c r="K9" s="9" t="s">
        <v>236</v>
      </c>
      <c r="L9" s="198"/>
      <c r="M9" s="198"/>
      <c r="N9" s="199">
        <v>42.75</v>
      </c>
      <c r="O9" s="202">
        <f>SUM(O8+L9-M9-N9)</f>
        <v>1165.96</v>
      </c>
    </row>
    <row r="10" spans="1:17" ht="12" customHeight="1" x14ac:dyDescent="0.2">
      <c r="A10" s="116"/>
      <c r="B10" s="117"/>
      <c r="C10" s="185"/>
      <c r="D10" s="180"/>
      <c r="E10" s="181"/>
      <c r="F10" s="182"/>
      <c r="G10" s="202">
        <f t="shared" ref="G10:G24" si="0">SUM(G9+D10-E10-F10)</f>
        <v>0</v>
      </c>
      <c r="I10" s="116">
        <v>43160</v>
      </c>
      <c r="J10" s="117">
        <v>11569347</v>
      </c>
      <c r="K10" s="185" t="s">
        <v>253</v>
      </c>
      <c r="L10" s="180"/>
      <c r="M10" s="181"/>
      <c r="N10" s="182">
        <f>222.29+31.5+54.99+36</f>
        <v>344.78</v>
      </c>
      <c r="O10" s="202">
        <f t="shared" ref="O10:O29" si="1">SUM(O9+L10-M10-N10)</f>
        <v>821.18000000000006</v>
      </c>
      <c r="Q10" s="331" t="s">
        <v>114</v>
      </c>
    </row>
    <row r="11" spans="1:17" ht="12" customHeight="1" x14ac:dyDescent="0.2">
      <c r="A11" s="116"/>
      <c r="B11" s="117"/>
      <c r="C11" s="185"/>
      <c r="D11" s="180"/>
      <c r="E11" s="181"/>
      <c r="F11" s="182"/>
      <c r="G11" s="202">
        <f t="shared" si="0"/>
        <v>0</v>
      </c>
      <c r="I11" s="116"/>
      <c r="J11" s="117"/>
      <c r="K11" s="185"/>
      <c r="L11" s="180"/>
      <c r="M11" s="181"/>
      <c r="N11" s="182"/>
      <c r="O11" s="202">
        <f t="shared" si="1"/>
        <v>821.18000000000006</v>
      </c>
    </row>
    <row r="12" spans="1:17" ht="12" customHeight="1" x14ac:dyDescent="0.2">
      <c r="A12" s="116"/>
      <c r="B12" s="185"/>
      <c r="C12" s="185"/>
      <c r="D12" s="180"/>
      <c r="E12" s="181"/>
      <c r="F12" s="182"/>
      <c r="G12" s="202">
        <f t="shared" si="0"/>
        <v>0</v>
      </c>
      <c r="I12" s="116"/>
      <c r="J12" s="185"/>
      <c r="K12" s="185"/>
      <c r="L12" s="180"/>
      <c r="M12" s="181"/>
      <c r="N12" s="182"/>
      <c r="O12" s="202">
        <f t="shared" si="1"/>
        <v>821.18000000000006</v>
      </c>
    </row>
    <row r="13" spans="1:17" s="254" customFormat="1" ht="12" customHeight="1" x14ac:dyDescent="0.2">
      <c r="A13" s="116"/>
      <c r="B13" s="185"/>
      <c r="C13" s="185"/>
      <c r="D13" s="180"/>
      <c r="E13" s="181"/>
      <c r="F13" s="182"/>
      <c r="G13" s="202">
        <f t="shared" si="0"/>
        <v>0</v>
      </c>
      <c r="I13" s="116"/>
      <c r="J13" s="185"/>
      <c r="K13" s="185"/>
      <c r="L13" s="180"/>
      <c r="M13" s="181"/>
      <c r="N13" s="182"/>
      <c r="O13" s="202">
        <f t="shared" si="1"/>
        <v>821.18000000000006</v>
      </c>
    </row>
    <row r="14" spans="1:17" ht="12" customHeight="1" x14ac:dyDescent="0.2">
      <c r="A14" s="200"/>
      <c r="B14" s="183"/>
      <c r="C14" s="183"/>
      <c r="D14" s="203"/>
      <c r="E14" s="203"/>
      <c r="F14" s="203"/>
      <c r="G14" s="202">
        <f t="shared" si="0"/>
        <v>0</v>
      </c>
      <c r="I14" s="200"/>
      <c r="J14" s="183"/>
      <c r="K14" s="183"/>
      <c r="L14" s="203"/>
      <c r="M14" s="203"/>
      <c r="N14" s="203"/>
      <c r="O14" s="202">
        <f t="shared" si="1"/>
        <v>821.18000000000006</v>
      </c>
    </row>
    <row r="15" spans="1:17" ht="12" customHeight="1" x14ac:dyDescent="0.2">
      <c r="A15" s="200"/>
      <c r="B15" s="183"/>
      <c r="C15" s="183"/>
      <c r="D15" s="181"/>
      <c r="E15" s="181"/>
      <c r="F15" s="181"/>
      <c r="G15" s="202">
        <f t="shared" si="0"/>
        <v>0</v>
      </c>
      <c r="I15" s="200"/>
      <c r="J15" s="183"/>
      <c r="K15" s="183"/>
      <c r="L15" s="181"/>
      <c r="M15" s="181"/>
      <c r="N15" s="181"/>
      <c r="O15" s="202">
        <f t="shared" si="1"/>
        <v>821.18000000000006</v>
      </c>
    </row>
    <row r="16" spans="1:17" ht="12" customHeight="1" x14ac:dyDescent="0.2">
      <c r="A16" s="200"/>
      <c r="B16" s="183"/>
      <c r="C16" s="183"/>
      <c r="D16" s="181"/>
      <c r="E16" s="181"/>
      <c r="F16" s="181"/>
      <c r="G16" s="202">
        <f t="shared" si="0"/>
        <v>0</v>
      </c>
      <c r="I16" s="200"/>
      <c r="J16" s="183"/>
      <c r="K16" s="183"/>
      <c r="L16" s="181"/>
      <c r="M16" s="181"/>
      <c r="N16" s="181"/>
      <c r="O16" s="202">
        <f t="shared" si="1"/>
        <v>821.18000000000006</v>
      </c>
    </row>
    <row r="17" spans="1:15" ht="12" customHeight="1" x14ac:dyDescent="0.2">
      <c r="A17" s="200"/>
      <c r="B17" s="183"/>
      <c r="C17" s="183"/>
      <c r="D17" s="181"/>
      <c r="E17" s="181"/>
      <c r="F17" s="181"/>
      <c r="G17" s="202">
        <f t="shared" si="0"/>
        <v>0</v>
      </c>
      <c r="I17" s="200"/>
      <c r="J17" s="183"/>
      <c r="K17" s="183"/>
      <c r="L17" s="181"/>
      <c r="M17" s="181"/>
      <c r="N17" s="181"/>
      <c r="O17" s="202">
        <f t="shared" si="1"/>
        <v>821.18000000000006</v>
      </c>
    </row>
    <row r="18" spans="1:15" ht="12" customHeight="1" x14ac:dyDescent="0.2">
      <c r="A18" s="200"/>
      <c r="B18" s="183"/>
      <c r="C18" s="183"/>
      <c r="D18" s="181"/>
      <c r="E18" s="181"/>
      <c r="F18" s="181"/>
      <c r="G18" s="202">
        <f t="shared" si="0"/>
        <v>0</v>
      </c>
      <c r="I18" s="200"/>
      <c r="J18" s="183"/>
      <c r="K18" s="183"/>
      <c r="L18" s="181"/>
      <c r="M18" s="181"/>
      <c r="N18" s="181"/>
      <c r="O18" s="202">
        <f t="shared" si="1"/>
        <v>821.18000000000006</v>
      </c>
    </row>
    <row r="19" spans="1:15" ht="12" customHeight="1" x14ac:dyDescent="0.2">
      <c r="A19" s="200"/>
      <c r="B19" s="183"/>
      <c r="C19" s="183"/>
      <c r="D19" s="181"/>
      <c r="E19" s="181"/>
      <c r="F19" s="181"/>
      <c r="G19" s="202">
        <f t="shared" si="0"/>
        <v>0</v>
      </c>
      <c r="I19" s="200"/>
      <c r="J19" s="183"/>
      <c r="K19" s="183"/>
      <c r="L19" s="181"/>
      <c r="M19" s="181"/>
      <c r="N19" s="181"/>
      <c r="O19" s="202">
        <f t="shared" si="1"/>
        <v>821.18000000000006</v>
      </c>
    </row>
    <row r="20" spans="1:15" ht="12" customHeight="1" x14ac:dyDescent="0.2">
      <c r="A20" s="200"/>
      <c r="B20" s="183"/>
      <c r="C20" s="183"/>
      <c r="D20" s="181"/>
      <c r="E20" s="181"/>
      <c r="F20" s="181"/>
      <c r="G20" s="202">
        <f t="shared" si="0"/>
        <v>0</v>
      </c>
      <c r="I20" s="200"/>
      <c r="J20" s="183"/>
      <c r="K20" s="183"/>
      <c r="L20" s="181"/>
      <c r="M20" s="181"/>
      <c r="N20" s="181"/>
      <c r="O20" s="202">
        <f t="shared" si="1"/>
        <v>821.18000000000006</v>
      </c>
    </row>
    <row r="21" spans="1:15" ht="12" customHeight="1" x14ac:dyDescent="0.2">
      <c r="A21" s="200"/>
      <c r="B21" s="183"/>
      <c r="C21" s="183"/>
      <c r="D21" s="181"/>
      <c r="E21" s="181"/>
      <c r="F21" s="181"/>
      <c r="G21" s="202">
        <f t="shared" si="0"/>
        <v>0</v>
      </c>
      <c r="I21" s="200"/>
      <c r="J21" s="183"/>
      <c r="K21" s="183"/>
      <c r="L21" s="181"/>
      <c r="M21" s="181"/>
      <c r="N21" s="181"/>
      <c r="O21" s="202">
        <f t="shared" si="1"/>
        <v>821.18000000000006</v>
      </c>
    </row>
    <row r="22" spans="1:15" ht="12" customHeight="1" x14ac:dyDescent="0.2">
      <c r="A22" s="200"/>
      <c r="B22" s="183"/>
      <c r="C22" s="183"/>
      <c r="D22" s="181"/>
      <c r="E22" s="181"/>
      <c r="F22" s="181"/>
      <c r="G22" s="202">
        <f t="shared" si="0"/>
        <v>0</v>
      </c>
      <c r="I22" s="200"/>
      <c r="J22" s="183"/>
      <c r="K22" s="183"/>
      <c r="L22" s="181"/>
      <c r="M22" s="181"/>
      <c r="N22" s="181"/>
      <c r="O22" s="202">
        <f t="shared" si="1"/>
        <v>821.18000000000006</v>
      </c>
    </row>
    <row r="23" spans="1:15" ht="12" customHeight="1" x14ac:dyDescent="0.2">
      <c r="A23" s="200"/>
      <c r="B23" s="183"/>
      <c r="C23" s="183"/>
      <c r="D23" s="181"/>
      <c r="E23" s="181"/>
      <c r="F23" s="181"/>
      <c r="G23" s="202">
        <f t="shared" si="0"/>
        <v>0</v>
      </c>
      <c r="I23" s="200"/>
      <c r="J23" s="183"/>
      <c r="K23" s="183"/>
      <c r="L23" s="181"/>
      <c r="M23" s="181"/>
      <c r="N23" s="181"/>
      <c r="O23" s="202">
        <f t="shared" si="1"/>
        <v>821.18000000000006</v>
      </c>
    </row>
    <row r="24" spans="1:15" ht="12" customHeight="1" x14ac:dyDescent="0.2">
      <c r="A24" s="200"/>
      <c r="B24" s="183"/>
      <c r="C24" s="183"/>
      <c r="D24" s="181"/>
      <c r="E24" s="181"/>
      <c r="F24" s="181"/>
      <c r="G24" s="202">
        <f t="shared" si="0"/>
        <v>0</v>
      </c>
      <c r="I24" s="200"/>
      <c r="J24" s="183"/>
      <c r="K24" s="183"/>
      <c r="L24" s="181"/>
      <c r="M24" s="181"/>
      <c r="N24" s="181"/>
      <c r="O24" s="202">
        <f t="shared" si="1"/>
        <v>821.18000000000006</v>
      </c>
    </row>
    <row r="25" spans="1:15" ht="12" customHeight="1" x14ac:dyDescent="0.2">
      <c r="A25" s="200"/>
      <c r="B25" s="183"/>
      <c r="C25" s="183"/>
      <c r="D25" s="181"/>
      <c r="E25" s="181"/>
      <c r="F25" s="181"/>
      <c r="G25" s="187">
        <f t="shared" ref="G25:G29" si="2">SUM(G24+D25-E25-F25)</f>
        <v>0</v>
      </c>
      <c r="I25" s="200"/>
      <c r="J25" s="183"/>
      <c r="K25" s="183"/>
      <c r="L25" s="181"/>
      <c r="M25" s="181"/>
      <c r="N25" s="181"/>
      <c r="O25" s="187">
        <f t="shared" si="1"/>
        <v>821.18000000000006</v>
      </c>
    </row>
    <row r="26" spans="1:15" ht="12" customHeight="1" x14ac:dyDescent="0.2">
      <c r="A26" s="200"/>
      <c r="B26" s="183"/>
      <c r="C26" s="183"/>
      <c r="D26" s="181"/>
      <c r="E26" s="181"/>
      <c r="F26" s="181"/>
      <c r="G26" s="187">
        <f t="shared" si="2"/>
        <v>0</v>
      </c>
      <c r="I26" s="200"/>
      <c r="J26" s="183"/>
      <c r="K26" s="183"/>
      <c r="L26" s="181"/>
      <c r="M26" s="181"/>
      <c r="N26" s="181"/>
      <c r="O26" s="187">
        <f t="shared" si="1"/>
        <v>821.18000000000006</v>
      </c>
    </row>
    <row r="27" spans="1:15" ht="12" customHeight="1" x14ac:dyDescent="0.2">
      <c r="A27" s="200"/>
      <c r="B27" s="183"/>
      <c r="C27" s="183"/>
      <c r="D27" s="181"/>
      <c r="E27" s="181"/>
      <c r="F27" s="181"/>
      <c r="G27" s="187">
        <f t="shared" si="2"/>
        <v>0</v>
      </c>
      <c r="I27" s="200"/>
      <c r="J27" s="183"/>
      <c r="K27" s="183"/>
      <c r="L27" s="181"/>
      <c r="M27" s="181"/>
      <c r="N27" s="181"/>
      <c r="O27" s="187">
        <f t="shared" si="1"/>
        <v>821.18000000000006</v>
      </c>
    </row>
    <row r="28" spans="1:15" ht="12" customHeight="1" x14ac:dyDescent="0.2">
      <c r="A28" s="200"/>
      <c r="B28" s="183"/>
      <c r="C28" s="183"/>
      <c r="D28" s="181"/>
      <c r="E28" s="181"/>
      <c r="F28" s="181"/>
      <c r="G28" s="187">
        <f t="shared" si="2"/>
        <v>0</v>
      </c>
      <c r="I28" s="200"/>
      <c r="J28" s="183"/>
      <c r="K28" s="183"/>
      <c r="L28" s="181"/>
      <c r="M28" s="181"/>
      <c r="N28" s="181"/>
      <c r="O28" s="187">
        <f t="shared" si="1"/>
        <v>821.18000000000006</v>
      </c>
    </row>
    <row r="29" spans="1:15" ht="12" customHeight="1" x14ac:dyDescent="0.2">
      <c r="A29" s="200"/>
      <c r="B29" s="183"/>
      <c r="C29" s="183"/>
      <c r="D29" s="181"/>
      <c r="E29" s="181"/>
      <c r="F29" s="181"/>
      <c r="G29" s="187">
        <f t="shared" si="2"/>
        <v>0</v>
      </c>
      <c r="I29" s="200"/>
      <c r="J29" s="183"/>
      <c r="K29" s="183"/>
      <c r="L29" s="181"/>
      <c r="M29" s="181"/>
      <c r="N29" s="181"/>
      <c r="O29" s="187">
        <f t="shared" si="1"/>
        <v>821.18000000000006</v>
      </c>
    </row>
    <row r="30" spans="1:15" ht="12" customHeight="1" thickBot="1" x14ac:dyDescent="0.25">
      <c r="A30" s="204"/>
      <c r="B30" s="201"/>
      <c r="C30" s="201"/>
      <c r="D30" s="205"/>
      <c r="E30" s="205"/>
      <c r="F30" s="205"/>
      <c r="G30" s="206">
        <f>SUM(G29+D30-E30-F30)</f>
        <v>0</v>
      </c>
      <c r="I30" s="204"/>
      <c r="J30" s="201"/>
      <c r="K30" s="201"/>
      <c r="L30" s="205"/>
      <c r="M30" s="205"/>
      <c r="N30" s="205"/>
      <c r="O30" s="206">
        <f>SUM(O29+L30-M30-N30)</f>
        <v>821.18000000000006</v>
      </c>
    </row>
    <row r="31" spans="1:15" ht="12" customHeight="1" thickTop="1" x14ac:dyDescent="0.2">
      <c r="A31" s="173"/>
      <c r="B31" s="171"/>
      <c r="C31" s="171"/>
      <c r="D31" s="172"/>
      <c r="E31" s="172"/>
      <c r="F31" s="172"/>
      <c r="G31" s="174"/>
      <c r="I31" s="173"/>
      <c r="J31" s="171"/>
      <c r="K31" s="171"/>
      <c r="L31" s="172"/>
      <c r="M31" s="172"/>
      <c r="N31" s="172"/>
      <c r="O31" s="174"/>
    </row>
    <row r="32" spans="1:15" ht="12" customHeight="1" thickBot="1" x14ac:dyDescent="0.25">
      <c r="A32" s="194" t="s">
        <v>3</v>
      </c>
      <c r="B32" s="195"/>
      <c r="C32" s="195"/>
      <c r="D32" s="196"/>
      <c r="E32" s="197"/>
      <c r="F32" s="197"/>
      <c r="G32" s="210">
        <f>G30</f>
        <v>0</v>
      </c>
      <c r="I32" s="194" t="s">
        <v>3</v>
      </c>
      <c r="J32" s="244"/>
      <c r="K32" s="244"/>
      <c r="L32" s="196"/>
      <c r="M32" s="197"/>
      <c r="N32" s="197"/>
      <c r="O32" s="210">
        <f>O30</f>
        <v>821.18000000000006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100-000000000000}"/>
  </hyperlinks>
  <pageMargins left="0.7" right="0.7" top="0.75" bottom="0.75" header="0.3" footer="0.3"/>
  <pageSetup scale="9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3"/>
  <sheetViews>
    <sheetView workbookViewId="0">
      <selection activeCell="H1" sqref="H1"/>
    </sheetView>
  </sheetViews>
  <sheetFormatPr defaultRowHeight="12.75" x14ac:dyDescent="0.2"/>
  <cols>
    <col min="3" max="3" width="18.85546875" bestFit="1" customWidth="1"/>
    <col min="11" max="11" width="32.7109375" bestFit="1" customWidth="1"/>
    <col min="15" max="15" width="10.2851562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H2" s="254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H3" s="254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302</v>
      </c>
      <c r="B4" s="363"/>
      <c r="C4" s="363"/>
      <c r="D4" s="363"/>
      <c r="E4" s="363"/>
      <c r="F4" s="363"/>
      <c r="G4" s="364"/>
      <c r="H4" s="282"/>
      <c r="I4" s="362" t="s">
        <v>302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H5" s="25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254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75" t="s">
        <v>1</v>
      </c>
      <c r="B7" s="215" t="s">
        <v>12</v>
      </c>
      <c r="C7" s="176" t="s">
        <v>0</v>
      </c>
      <c r="D7" s="177" t="s">
        <v>2</v>
      </c>
      <c r="E7" s="252" t="s">
        <v>8</v>
      </c>
      <c r="F7" s="177" t="s">
        <v>5</v>
      </c>
      <c r="G7" s="178" t="s">
        <v>6</v>
      </c>
      <c r="H7" s="254"/>
      <c r="I7" s="175" t="s">
        <v>1</v>
      </c>
      <c r="J7" s="215" t="s">
        <v>12</v>
      </c>
      <c r="K7" s="176" t="s">
        <v>0</v>
      </c>
      <c r="L7" s="177" t="s">
        <v>2</v>
      </c>
      <c r="M7" s="252" t="s">
        <v>8</v>
      </c>
      <c r="N7" s="177" t="s">
        <v>5</v>
      </c>
      <c r="O7" s="178" t="s">
        <v>6</v>
      </c>
    </row>
    <row r="8" spans="1:15" x14ac:dyDescent="0.2">
      <c r="A8" s="247"/>
      <c r="B8" s="238"/>
      <c r="C8" s="238" t="s">
        <v>83</v>
      </c>
      <c r="D8" s="248"/>
      <c r="E8" s="248"/>
      <c r="F8" s="248"/>
      <c r="G8" s="249">
        <f>D8</f>
        <v>0</v>
      </c>
      <c r="H8" s="254"/>
      <c r="I8" s="247"/>
      <c r="J8" s="238"/>
      <c r="K8" s="9" t="s">
        <v>74</v>
      </c>
      <c r="L8" s="180"/>
      <c r="M8" s="248"/>
      <c r="N8" s="248"/>
      <c r="O8" s="249">
        <v>441.66</v>
      </c>
    </row>
    <row r="9" spans="1:15" x14ac:dyDescent="0.2">
      <c r="A9" s="116"/>
      <c r="B9" s="117"/>
      <c r="C9" s="117"/>
      <c r="D9" s="198"/>
      <c r="E9" s="198"/>
      <c r="F9" s="199"/>
      <c r="G9" s="202">
        <f>SUM(G8+D9-E9-F9)</f>
        <v>0</v>
      </c>
      <c r="H9" s="170"/>
      <c r="I9" s="14">
        <v>43207</v>
      </c>
      <c r="J9" s="9" t="s">
        <v>303</v>
      </c>
      <c r="K9" s="9" t="s">
        <v>304</v>
      </c>
      <c r="L9" s="198"/>
      <c r="M9" s="198"/>
      <c r="N9" s="199">
        <f>519.6-77.94</f>
        <v>441.66</v>
      </c>
      <c r="O9" s="202">
        <f>SUM(O8+L9-M9-N9)</f>
        <v>0</v>
      </c>
    </row>
    <row r="10" spans="1:15" x14ac:dyDescent="0.2">
      <c r="A10" s="116"/>
      <c r="B10" s="117"/>
      <c r="C10" s="185"/>
      <c r="D10" s="180"/>
      <c r="E10" s="181"/>
      <c r="F10" s="182"/>
      <c r="G10" s="202">
        <f t="shared" ref="G10:G29" si="0">SUM(G9+D10-E10-F10)</f>
        <v>0</v>
      </c>
      <c r="H10" s="254"/>
      <c r="I10" s="116"/>
      <c r="J10" s="117"/>
      <c r="K10" s="185"/>
      <c r="L10" s="180"/>
      <c r="M10" s="181"/>
      <c r="N10" s="182"/>
      <c r="O10" s="202">
        <f t="shared" ref="O10:O29" si="1">SUM(O9+L10-M10-N10)</f>
        <v>0</v>
      </c>
    </row>
    <row r="11" spans="1:15" x14ac:dyDescent="0.2">
      <c r="A11" s="116"/>
      <c r="B11" s="117"/>
      <c r="C11" s="185"/>
      <c r="D11" s="180"/>
      <c r="E11" s="181"/>
      <c r="F11" s="182"/>
      <c r="G11" s="202">
        <f t="shared" si="0"/>
        <v>0</v>
      </c>
      <c r="H11" s="254"/>
      <c r="I11" s="116"/>
      <c r="J11" s="117"/>
      <c r="K11" s="185"/>
      <c r="L11" s="180"/>
      <c r="M11" s="181"/>
      <c r="N11" s="182"/>
      <c r="O11" s="202">
        <f t="shared" si="1"/>
        <v>0</v>
      </c>
    </row>
    <row r="12" spans="1:15" x14ac:dyDescent="0.2">
      <c r="A12" s="116"/>
      <c r="B12" s="185"/>
      <c r="C12" s="185"/>
      <c r="D12" s="180"/>
      <c r="E12" s="181"/>
      <c r="F12" s="182"/>
      <c r="G12" s="202">
        <f t="shared" si="0"/>
        <v>0</v>
      </c>
      <c r="H12" s="254"/>
      <c r="I12" s="116"/>
      <c r="J12" s="185"/>
      <c r="K12" s="185"/>
      <c r="L12" s="180"/>
      <c r="M12" s="181"/>
      <c r="N12" s="182"/>
      <c r="O12" s="202">
        <f t="shared" si="1"/>
        <v>0</v>
      </c>
    </row>
    <row r="13" spans="1:15" x14ac:dyDescent="0.2">
      <c r="A13" s="116"/>
      <c r="B13" s="185"/>
      <c r="C13" s="185"/>
      <c r="D13" s="180"/>
      <c r="E13" s="181"/>
      <c r="F13" s="182"/>
      <c r="G13" s="202">
        <f t="shared" si="0"/>
        <v>0</v>
      </c>
      <c r="H13" s="254"/>
      <c r="I13" s="116"/>
      <c r="J13" s="185"/>
      <c r="K13" s="185"/>
      <c r="L13" s="180"/>
      <c r="M13" s="181"/>
      <c r="N13" s="182"/>
      <c r="O13" s="202">
        <f t="shared" si="1"/>
        <v>0</v>
      </c>
    </row>
    <row r="14" spans="1:15" x14ac:dyDescent="0.2">
      <c r="A14" s="200"/>
      <c r="B14" s="183"/>
      <c r="C14" s="183"/>
      <c r="D14" s="203"/>
      <c r="E14" s="203"/>
      <c r="F14" s="203"/>
      <c r="G14" s="202">
        <f t="shared" si="0"/>
        <v>0</v>
      </c>
      <c r="H14" s="254"/>
      <c r="I14" s="200"/>
      <c r="J14" s="183"/>
      <c r="K14" s="183"/>
      <c r="L14" s="203"/>
      <c r="M14" s="203"/>
      <c r="N14" s="203"/>
      <c r="O14" s="202">
        <f t="shared" si="1"/>
        <v>0</v>
      </c>
    </row>
    <row r="15" spans="1:15" x14ac:dyDescent="0.2">
      <c r="A15" s="200"/>
      <c r="B15" s="183"/>
      <c r="C15" s="183"/>
      <c r="D15" s="181"/>
      <c r="E15" s="181"/>
      <c r="F15" s="181"/>
      <c r="G15" s="202">
        <f t="shared" si="0"/>
        <v>0</v>
      </c>
      <c r="H15" s="254"/>
      <c r="I15" s="200"/>
      <c r="J15" s="183"/>
      <c r="K15" s="183"/>
      <c r="L15" s="181"/>
      <c r="M15" s="181"/>
      <c r="N15" s="181"/>
      <c r="O15" s="202">
        <f t="shared" si="1"/>
        <v>0</v>
      </c>
    </row>
    <row r="16" spans="1:15" x14ac:dyDescent="0.2">
      <c r="A16" s="200"/>
      <c r="B16" s="183"/>
      <c r="C16" s="183"/>
      <c r="D16" s="181"/>
      <c r="E16" s="181"/>
      <c r="F16" s="181"/>
      <c r="G16" s="202">
        <f t="shared" si="0"/>
        <v>0</v>
      </c>
      <c r="H16" s="254"/>
      <c r="I16" s="200"/>
      <c r="J16" s="183"/>
      <c r="K16" s="183"/>
      <c r="L16" s="181"/>
      <c r="M16" s="181"/>
      <c r="N16" s="181"/>
      <c r="O16" s="202">
        <f t="shared" si="1"/>
        <v>0</v>
      </c>
    </row>
    <row r="17" spans="1:15" x14ac:dyDescent="0.2">
      <c r="A17" s="200"/>
      <c r="B17" s="183"/>
      <c r="C17" s="183"/>
      <c r="D17" s="181"/>
      <c r="E17" s="181"/>
      <c r="F17" s="181"/>
      <c r="G17" s="202">
        <f t="shared" si="0"/>
        <v>0</v>
      </c>
      <c r="H17" s="254"/>
      <c r="I17" s="200"/>
      <c r="J17" s="183"/>
      <c r="K17" s="183"/>
      <c r="L17" s="181"/>
      <c r="M17" s="181"/>
      <c r="N17" s="181"/>
      <c r="O17" s="202">
        <f t="shared" si="1"/>
        <v>0</v>
      </c>
    </row>
    <row r="18" spans="1:15" x14ac:dyDescent="0.2">
      <c r="A18" s="200"/>
      <c r="B18" s="183"/>
      <c r="C18" s="183"/>
      <c r="D18" s="181"/>
      <c r="E18" s="181"/>
      <c r="F18" s="181"/>
      <c r="G18" s="202">
        <f t="shared" si="0"/>
        <v>0</v>
      </c>
      <c r="H18" s="254"/>
      <c r="I18" s="200"/>
      <c r="J18" s="183"/>
      <c r="K18" s="183"/>
      <c r="L18" s="181"/>
      <c r="M18" s="181"/>
      <c r="N18" s="181"/>
      <c r="O18" s="202">
        <f t="shared" si="1"/>
        <v>0</v>
      </c>
    </row>
    <row r="19" spans="1:15" x14ac:dyDescent="0.2">
      <c r="A19" s="200"/>
      <c r="B19" s="183"/>
      <c r="C19" s="183"/>
      <c r="D19" s="181"/>
      <c r="E19" s="181"/>
      <c r="F19" s="181"/>
      <c r="G19" s="202">
        <f t="shared" si="0"/>
        <v>0</v>
      </c>
      <c r="H19" s="254"/>
      <c r="I19" s="200"/>
      <c r="J19" s="183"/>
      <c r="K19" s="183"/>
      <c r="L19" s="181"/>
      <c r="M19" s="181"/>
      <c r="N19" s="181"/>
      <c r="O19" s="202">
        <f t="shared" si="1"/>
        <v>0</v>
      </c>
    </row>
    <row r="20" spans="1:15" x14ac:dyDescent="0.2">
      <c r="A20" s="200"/>
      <c r="B20" s="183"/>
      <c r="C20" s="183"/>
      <c r="D20" s="181"/>
      <c r="E20" s="181"/>
      <c r="F20" s="181"/>
      <c r="G20" s="202">
        <f t="shared" si="0"/>
        <v>0</v>
      </c>
      <c r="H20" s="254"/>
      <c r="I20" s="200"/>
      <c r="J20" s="183"/>
      <c r="K20" s="183"/>
      <c r="L20" s="181"/>
      <c r="M20" s="181"/>
      <c r="N20" s="181"/>
      <c r="O20" s="202">
        <f t="shared" si="1"/>
        <v>0</v>
      </c>
    </row>
    <row r="21" spans="1:15" x14ac:dyDescent="0.2">
      <c r="A21" s="200"/>
      <c r="B21" s="183"/>
      <c r="C21" s="183"/>
      <c r="D21" s="181"/>
      <c r="E21" s="181"/>
      <c r="F21" s="181"/>
      <c r="G21" s="202">
        <f t="shared" si="0"/>
        <v>0</v>
      </c>
      <c r="H21" s="254"/>
      <c r="I21" s="200"/>
      <c r="J21" s="183"/>
      <c r="K21" s="183"/>
      <c r="L21" s="181"/>
      <c r="M21" s="181"/>
      <c r="N21" s="181"/>
      <c r="O21" s="202">
        <f t="shared" si="1"/>
        <v>0</v>
      </c>
    </row>
    <row r="22" spans="1:15" x14ac:dyDescent="0.2">
      <c r="A22" s="200"/>
      <c r="B22" s="183"/>
      <c r="C22" s="183"/>
      <c r="D22" s="181"/>
      <c r="E22" s="181"/>
      <c r="F22" s="181"/>
      <c r="G22" s="202">
        <f t="shared" si="0"/>
        <v>0</v>
      </c>
      <c r="H22" s="254"/>
      <c r="I22" s="200"/>
      <c r="J22" s="183"/>
      <c r="K22" s="183"/>
      <c r="L22" s="181"/>
      <c r="M22" s="181"/>
      <c r="N22" s="181"/>
      <c r="O22" s="202">
        <f t="shared" si="1"/>
        <v>0</v>
      </c>
    </row>
    <row r="23" spans="1:15" x14ac:dyDescent="0.2">
      <c r="A23" s="200"/>
      <c r="B23" s="183"/>
      <c r="C23" s="183"/>
      <c r="D23" s="181"/>
      <c r="E23" s="181"/>
      <c r="F23" s="181"/>
      <c r="G23" s="202">
        <f t="shared" si="0"/>
        <v>0</v>
      </c>
      <c r="H23" s="254"/>
      <c r="I23" s="200"/>
      <c r="J23" s="183"/>
      <c r="K23" s="183"/>
      <c r="L23" s="181"/>
      <c r="M23" s="181"/>
      <c r="N23" s="181"/>
      <c r="O23" s="202">
        <f t="shared" si="1"/>
        <v>0</v>
      </c>
    </row>
    <row r="24" spans="1:15" x14ac:dyDescent="0.2">
      <c r="A24" s="200"/>
      <c r="B24" s="183"/>
      <c r="C24" s="183"/>
      <c r="D24" s="181"/>
      <c r="E24" s="181"/>
      <c r="F24" s="181"/>
      <c r="G24" s="202">
        <f t="shared" si="0"/>
        <v>0</v>
      </c>
      <c r="H24" s="254"/>
      <c r="I24" s="200"/>
      <c r="J24" s="183"/>
      <c r="K24" s="183"/>
      <c r="L24" s="181"/>
      <c r="M24" s="181"/>
      <c r="N24" s="181"/>
      <c r="O24" s="202">
        <f t="shared" si="1"/>
        <v>0</v>
      </c>
    </row>
    <row r="25" spans="1:15" x14ac:dyDescent="0.2">
      <c r="A25" s="200"/>
      <c r="B25" s="183"/>
      <c r="C25" s="183"/>
      <c r="D25" s="181"/>
      <c r="E25" s="181"/>
      <c r="F25" s="181"/>
      <c r="G25" s="187">
        <f t="shared" si="0"/>
        <v>0</v>
      </c>
      <c r="H25" s="254"/>
      <c r="I25" s="200"/>
      <c r="J25" s="183"/>
      <c r="K25" s="183"/>
      <c r="L25" s="181"/>
      <c r="M25" s="181"/>
      <c r="N25" s="181"/>
      <c r="O25" s="187">
        <f t="shared" si="1"/>
        <v>0</v>
      </c>
    </row>
    <row r="26" spans="1:15" x14ac:dyDescent="0.2">
      <c r="A26" s="200"/>
      <c r="B26" s="183"/>
      <c r="C26" s="183"/>
      <c r="D26" s="181"/>
      <c r="E26" s="181"/>
      <c r="F26" s="181"/>
      <c r="G26" s="187">
        <f t="shared" si="0"/>
        <v>0</v>
      </c>
      <c r="H26" s="254"/>
      <c r="I26" s="200"/>
      <c r="J26" s="183"/>
      <c r="K26" s="183"/>
      <c r="L26" s="181"/>
      <c r="M26" s="181"/>
      <c r="N26" s="181"/>
      <c r="O26" s="187">
        <f t="shared" si="1"/>
        <v>0</v>
      </c>
    </row>
    <row r="27" spans="1:15" x14ac:dyDescent="0.2">
      <c r="A27" s="200"/>
      <c r="B27" s="183"/>
      <c r="C27" s="183"/>
      <c r="D27" s="181"/>
      <c r="E27" s="181"/>
      <c r="F27" s="181"/>
      <c r="G27" s="187">
        <f t="shared" si="0"/>
        <v>0</v>
      </c>
      <c r="H27" s="254"/>
      <c r="I27" s="200"/>
      <c r="J27" s="183"/>
      <c r="K27" s="183"/>
      <c r="L27" s="181"/>
      <c r="M27" s="181"/>
      <c r="N27" s="181"/>
      <c r="O27" s="187">
        <f t="shared" si="1"/>
        <v>0</v>
      </c>
    </row>
    <row r="28" spans="1:15" x14ac:dyDescent="0.2">
      <c r="A28" s="200"/>
      <c r="B28" s="183"/>
      <c r="C28" s="183"/>
      <c r="D28" s="181"/>
      <c r="E28" s="181"/>
      <c r="F28" s="181"/>
      <c r="G28" s="187">
        <f t="shared" si="0"/>
        <v>0</v>
      </c>
      <c r="H28" s="254"/>
      <c r="I28" s="200"/>
      <c r="J28" s="183"/>
      <c r="K28" s="183"/>
      <c r="L28" s="181"/>
      <c r="M28" s="181"/>
      <c r="N28" s="181"/>
      <c r="O28" s="187">
        <f t="shared" si="1"/>
        <v>0</v>
      </c>
    </row>
    <row r="29" spans="1:15" x14ac:dyDescent="0.2">
      <c r="A29" s="200"/>
      <c r="B29" s="183"/>
      <c r="C29" s="183"/>
      <c r="D29" s="181"/>
      <c r="E29" s="181"/>
      <c r="F29" s="181"/>
      <c r="G29" s="187">
        <f t="shared" si="0"/>
        <v>0</v>
      </c>
      <c r="H29" s="254"/>
      <c r="I29" s="200"/>
      <c r="J29" s="183"/>
      <c r="K29" s="183"/>
      <c r="L29" s="181"/>
      <c r="M29" s="181"/>
      <c r="N29" s="181"/>
      <c r="O29" s="187">
        <f t="shared" si="1"/>
        <v>0</v>
      </c>
    </row>
    <row r="30" spans="1:15" ht="13.5" thickBot="1" x14ac:dyDescent="0.25">
      <c r="A30" s="204"/>
      <c r="B30" s="201"/>
      <c r="C30" s="201"/>
      <c r="D30" s="205"/>
      <c r="E30" s="205"/>
      <c r="F30" s="205"/>
      <c r="G30" s="206">
        <f>SUM(G29+D30-E30-F30)</f>
        <v>0</v>
      </c>
      <c r="H30" s="254"/>
      <c r="I30" s="204"/>
      <c r="J30" s="201"/>
      <c r="K30" s="201"/>
      <c r="L30" s="205"/>
      <c r="M30" s="205"/>
      <c r="N30" s="205"/>
      <c r="O30" s="206">
        <f>SUM(O29+L30-M30-N30)</f>
        <v>0</v>
      </c>
    </row>
    <row r="31" spans="1:15" ht="13.5" thickTop="1" x14ac:dyDescent="0.2">
      <c r="A31" s="173"/>
      <c r="B31" s="171"/>
      <c r="C31" s="171"/>
      <c r="D31" s="172"/>
      <c r="E31" s="172"/>
      <c r="F31" s="172"/>
      <c r="G31" s="174"/>
      <c r="H31" s="254"/>
      <c r="I31" s="173"/>
      <c r="J31" s="171"/>
      <c r="K31" s="171"/>
      <c r="L31" s="172"/>
      <c r="M31" s="172"/>
      <c r="N31" s="172"/>
      <c r="O31" s="174"/>
    </row>
    <row r="32" spans="1:15" ht="13.5" thickBot="1" x14ac:dyDescent="0.25">
      <c r="A32" s="194" t="s">
        <v>3</v>
      </c>
      <c r="B32" s="244"/>
      <c r="C32" s="244"/>
      <c r="D32" s="196"/>
      <c r="E32" s="197"/>
      <c r="F32" s="197"/>
      <c r="G32" s="210">
        <f>G30</f>
        <v>0</v>
      </c>
      <c r="H32" s="254"/>
      <c r="I32" s="194" t="s">
        <v>3</v>
      </c>
      <c r="J32" s="244"/>
      <c r="K32" s="244"/>
      <c r="L32" s="196"/>
      <c r="M32" s="197"/>
      <c r="N32" s="197"/>
      <c r="O32" s="210">
        <f>O30</f>
        <v>0</v>
      </c>
    </row>
    <row r="33" spans="1:15" x14ac:dyDescent="0.2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30"/>
  <sheetViews>
    <sheetView topLeftCell="D1" zoomScaleNormal="100" workbookViewId="0">
      <selection activeCell="O15" sqref="O15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1.140625" style="246" bestFit="1" customWidth="1"/>
    <col min="8" max="8" width="9.140625" style="246"/>
    <col min="9" max="9" width="10.85546875" style="246" bestFit="1" customWidth="1"/>
    <col min="10" max="10" width="12.28515625" style="246" customWidth="1"/>
    <col min="11" max="11" width="27.5703125" style="246" customWidth="1"/>
    <col min="12" max="12" width="10.28515625" style="246" bestFit="1" customWidth="1"/>
    <col min="13" max="13" width="9.140625" style="246"/>
    <col min="14" max="14" width="10.5703125" style="246" customWidth="1"/>
    <col min="15" max="15" width="10.28515625" style="246" bestFit="1" customWidth="1"/>
    <col min="16" max="16384" width="9.140625" style="246"/>
  </cols>
  <sheetData>
    <row r="1" spans="1:15" x14ac:dyDescent="0.2">
      <c r="A1" s="353" t="s">
        <v>11</v>
      </c>
      <c r="B1" s="354"/>
      <c r="C1" s="354"/>
      <c r="D1" s="354"/>
      <c r="E1" s="354"/>
      <c r="F1" s="354"/>
      <c r="G1" s="355"/>
      <c r="H1" s="301" t="s">
        <v>78</v>
      </c>
      <c r="I1" s="353" t="s">
        <v>11</v>
      </c>
      <c r="J1" s="354"/>
      <c r="K1" s="354"/>
      <c r="L1" s="354"/>
      <c r="M1" s="354"/>
      <c r="N1" s="354"/>
      <c r="O1" s="355"/>
    </row>
    <row r="2" spans="1:15" x14ac:dyDescent="0.2">
      <c r="A2" s="356" t="s">
        <v>41</v>
      </c>
      <c r="B2" s="357"/>
      <c r="C2" s="357"/>
      <c r="D2" s="357"/>
      <c r="E2" s="357"/>
      <c r="F2" s="357"/>
      <c r="G2" s="358"/>
      <c r="I2" s="356" t="s">
        <v>41</v>
      </c>
      <c r="J2" s="357"/>
      <c r="K2" s="357"/>
      <c r="L2" s="357"/>
      <c r="M2" s="357"/>
      <c r="N2" s="357"/>
      <c r="O2" s="358"/>
    </row>
    <row r="3" spans="1:15" x14ac:dyDescent="0.2">
      <c r="A3" s="359"/>
      <c r="B3" s="360"/>
      <c r="C3" s="360"/>
      <c r="D3" s="360"/>
      <c r="E3" s="360"/>
      <c r="F3" s="360"/>
      <c r="G3" s="361"/>
      <c r="I3" s="359"/>
      <c r="J3" s="360"/>
      <c r="K3" s="360"/>
      <c r="L3" s="360"/>
      <c r="M3" s="360"/>
      <c r="N3" s="360"/>
      <c r="O3" s="361"/>
    </row>
    <row r="4" spans="1:15" ht="18" x14ac:dyDescent="0.2">
      <c r="A4" s="362" t="s">
        <v>96</v>
      </c>
      <c r="B4" s="363"/>
      <c r="C4" s="363"/>
      <c r="D4" s="363"/>
      <c r="E4" s="363"/>
      <c r="F4" s="363"/>
      <c r="G4" s="364"/>
      <c r="I4" s="362" t="s">
        <v>96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66"/>
      <c r="K5" s="366"/>
      <c r="L5" s="366"/>
      <c r="M5" s="366"/>
      <c r="N5" s="366"/>
      <c r="O5" s="367"/>
    </row>
    <row r="6" spans="1:15" ht="13.5" customHeight="1" thickBot="1" x14ac:dyDescent="0.25">
      <c r="A6" s="350" t="s">
        <v>94</v>
      </c>
      <c r="B6" s="351"/>
      <c r="C6" s="351"/>
      <c r="D6" s="351"/>
      <c r="E6" s="351"/>
      <c r="F6" s="351"/>
      <c r="G6" s="352"/>
      <c r="I6" s="350" t="s">
        <v>94</v>
      </c>
      <c r="J6" s="351"/>
      <c r="K6" s="351"/>
      <c r="L6" s="351"/>
      <c r="M6" s="351"/>
      <c r="N6" s="351"/>
      <c r="O6" s="352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v>675.37</v>
      </c>
      <c r="I8" s="116"/>
      <c r="J8" s="185"/>
      <c r="K8" s="185" t="s">
        <v>74</v>
      </c>
      <c r="L8" s="186"/>
      <c r="M8" s="186"/>
      <c r="N8" s="186"/>
      <c r="O8" s="296">
        <v>1944.38</v>
      </c>
    </row>
    <row r="9" spans="1:15" x14ac:dyDescent="0.2">
      <c r="A9" s="116">
        <v>43004</v>
      </c>
      <c r="B9" s="245" t="s">
        <v>106</v>
      </c>
      <c r="C9" s="271" t="s">
        <v>245</v>
      </c>
      <c r="D9" s="186"/>
      <c r="E9" s="186"/>
      <c r="F9" s="186">
        <v>167.63</v>
      </c>
      <c r="G9" s="297">
        <f t="shared" ref="G9:G28" si="0">SUM(G8+D9-E9-F9)</f>
        <v>507.74</v>
      </c>
      <c r="I9" s="116">
        <v>43131</v>
      </c>
      <c r="J9" s="117" t="s">
        <v>231</v>
      </c>
      <c r="K9" s="117" t="s">
        <v>232</v>
      </c>
      <c r="L9" s="185"/>
      <c r="M9" s="185"/>
      <c r="N9" s="186">
        <f>307.8+30.78-50.78</f>
        <v>287.80000000000007</v>
      </c>
      <c r="O9" s="297">
        <f>O8+L9-M9-N9</f>
        <v>1656.58</v>
      </c>
    </row>
    <row r="10" spans="1:15" x14ac:dyDescent="0.2">
      <c r="A10" s="116">
        <v>43019</v>
      </c>
      <c r="B10" s="245" t="s">
        <v>109</v>
      </c>
      <c r="C10" s="185" t="s">
        <v>110</v>
      </c>
      <c r="D10" s="186"/>
      <c r="E10" s="186"/>
      <c r="F10" s="186">
        <v>151.88</v>
      </c>
      <c r="G10" s="297">
        <f t="shared" si="0"/>
        <v>355.86</v>
      </c>
      <c r="I10" s="14">
        <v>43136</v>
      </c>
      <c r="J10" s="9" t="s">
        <v>235</v>
      </c>
      <c r="K10" s="9" t="s">
        <v>236</v>
      </c>
      <c r="L10" s="186"/>
      <c r="M10" s="186"/>
      <c r="N10" s="186">
        <v>42.75</v>
      </c>
      <c r="O10" s="297">
        <f t="shared" ref="O10:O11" si="1">O9+L10-M10-N10</f>
        <v>1613.83</v>
      </c>
    </row>
    <row r="11" spans="1:15" ht="25.5" x14ac:dyDescent="0.2">
      <c r="A11" s="116">
        <v>43047</v>
      </c>
      <c r="B11" s="185" t="s">
        <v>105</v>
      </c>
      <c r="C11" s="271" t="s">
        <v>164</v>
      </c>
      <c r="D11" s="186"/>
      <c r="E11" s="186"/>
      <c r="F11" s="186">
        <v>171.7</v>
      </c>
      <c r="G11" s="297">
        <f t="shared" si="0"/>
        <v>184.16000000000003</v>
      </c>
      <c r="I11" s="116">
        <v>43151</v>
      </c>
      <c r="J11" s="185" t="s">
        <v>241</v>
      </c>
      <c r="K11" s="185" t="s">
        <v>242</v>
      </c>
      <c r="L11" s="186"/>
      <c r="M11" s="186"/>
      <c r="N11" s="186">
        <f>187.5+18.75-10.12</f>
        <v>196.13</v>
      </c>
      <c r="O11" s="297">
        <f t="shared" si="1"/>
        <v>1417.6999999999998</v>
      </c>
    </row>
    <row r="12" spans="1:15" x14ac:dyDescent="0.2">
      <c r="A12" s="116"/>
      <c r="B12" s="185"/>
      <c r="C12" s="185"/>
      <c r="D12" s="186"/>
      <c r="E12" s="186"/>
      <c r="F12" s="186"/>
      <c r="G12" s="297">
        <f t="shared" si="0"/>
        <v>184.16000000000003</v>
      </c>
      <c r="I12" s="116">
        <v>43215</v>
      </c>
      <c r="J12" s="185" t="s">
        <v>284</v>
      </c>
      <c r="K12" s="185" t="s">
        <v>285</v>
      </c>
      <c r="L12" s="186"/>
      <c r="M12" s="186"/>
      <c r="N12" s="186">
        <f>336-50.4</f>
        <v>285.60000000000002</v>
      </c>
      <c r="O12" s="297">
        <f>O11+L26-M26-N26</f>
        <v>1417.6999999999998</v>
      </c>
    </row>
    <row r="13" spans="1:15" x14ac:dyDescent="0.2">
      <c r="A13" s="116"/>
      <c r="B13" s="185"/>
      <c r="C13" s="185"/>
      <c r="D13" s="186"/>
      <c r="E13" s="186"/>
      <c r="F13" s="186"/>
      <c r="G13" s="297">
        <f t="shared" si="0"/>
        <v>184.16000000000003</v>
      </c>
      <c r="I13" s="69">
        <v>43213</v>
      </c>
      <c r="J13" s="9" t="s">
        <v>335</v>
      </c>
      <c r="K13" s="9" t="s">
        <v>336</v>
      </c>
      <c r="L13" s="186"/>
      <c r="M13" s="186"/>
      <c r="N13" s="186">
        <v>19.760000000000002</v>
      </c>
      <c r="O13" s="297">
        <f t="shared" ref="O13:O25" si="2">O12+L27-M27-N27</f>
        <v>1417.6999999999998</v>
      </c>
    </row>
    <row r="14" spans="1:15" x14ac:dyDescent="0.2">
      <c r="A14" s="116"/>
      <c r="B14" s="185"/>
      <c r="C14" s="185"/>
      <c r="D14" s="186"/>
      <c r="E14" s="186"/>
      <c r="F14" s="186"/>
      <c r="G14" s="297">
        <f t="shared" si="0"/>
        <v>184.16000000000003</v>
      </c>
      <c r="I14" s="116"/>
      <c r="J14" s="185"/>
      <c r="K14" s="185"/>
      <c r="L14" s="186"/>
      <c r="M14" s="186"/>
      <c r="N14" s="186"/>
      <c r="O14" s="297">
        <f t="shared" si="2"/>
        <v>1417.6999999999998</v>
      </c>
    </row>
    <row r="15" spans="1:15" x14ac:dyDescent="0.2">
      <c r="A15" s="116"/>
      <c r="B15" s="185"/>
      <c r="C15" s="185"/>
      <c r="D15" s="186"/>
      <c r="E15" s="186"/>
      <c r="F15" s="186"/>
      <c r="G15" s="297">
        <f t="shared" si="0"/>
        <v>184.16000000000003</v>
      </c>
      <c r="I15" s="116"/>
      <c r="J15" s="185"/>
      <c r="K15" s="185"/>
      <c r="L15" s="186"/>
      <c r="M15" s="186"/>
      <c r="N15" s="186"/>
      <c r="O15" s="297">
        <f t="shared" si="2"/>
        <v>1417.6999999999998</v>
      </c>
    </row>
    <row r="16" spans="1:15" x14ac:dyDescent="0.2">
      <c r="A16" s="116"/>
      <c r="B16" s="185"/>
      <c r="C16" s="185"/>
      <c r="D16" s="186"/>
      <c r="E16" s="186"/>
      <c r="F16" s="186"/>
      <c r="G16" s="297">
        <f t="shared" si="0"/>
        <v>184.16000000000003</v>
      </c>
      <c r="I16" s="116"/>
      <c r="J16" s="185"/>
      <c r="K16" s="185"/>
      <c r="L16" s="186"/>
      <c r="M16" s="186"/>
      <c r="N16" s="186"/>
      <c r="O16" s="297">
        <f t="shared" si="2"/>
        <v>1417.6999999999998</v>
      </c>
    </row>
    <row r="17" spans="1:15" x14ac:dyDescent="0.2">
      <c r="A17" s="116"/>
      <c r="B17" s="185"/>
      <c r="C17" s="185"/>
      <c r="D17" s="186"/>
      <c r="E17" s="186"/>
      <c r="F17" s="186"/>
      <c r="G17" s="297">
        <f t="shared" si="0"/>
        <v>184.16000000000003</v>
      </c>
      <c r="I17" s="116"/>
      <c r="J17" s="185"/>
      <c r="K17" s="185"/>
      <c r="L17" s="186"/>
      <c r="M17" s="186"/>
      <c r="N17" s="186"/>
      <c r="O17" s="297">
        <f t="shared" si="2"/>
        <v>1417.6999999999998</v>
      </c>
    </row>
    <row r="18" spans="1:15" x14ac:dyDescent="0.2">
      <c r="A18" s="116"/>
      <c r="B18" s="185"/>
      <c r="C18" s="185"/>
      <c r="D18" s="186"/>
      <c r="E18" s="186"/>
      <c r="F18" s="186"/>
      <c r="G18" s="297">
        <f t="shared" si="0"/>
        <v>184.16000000000003</v>
      </c>
      <c r="I18" s="116"/>
      <c r="J18" s="185"/>
      <c r="K18" s="185"/>
      <c r="L18" s="186"/>
      <c r="M18" s="186"/>
      <c r="N18" s="186"/>
      <c r="O18" s="297">
        <f t="shared" si="2"/>
        <v>1417.6999999999998</v>
      </c>
    </row>
    <row r="19" spans="1:15" x14ac:dyDescent="0.2">
      <c r="A19" s="116"/>
      <c r="B19" s="185"/>
      <c r="C19" s="185"/>
      <c r="D19" s="186"/>
      <c r="E19" s="186"/>
      <c r="F19" s="186"/>
      <c r="G19" s="297">
        <f t="shared" si="0"/>
        <v>184.16000000000003</v>
      </c>
      <c r="I19" s="116"/>
      <c r="J19" s="185"/>
      <c r="K19" s="185"/>
      <c r="L19" s="186"/>
      <c r="M19" s="186"/>
      <c r="N19" s="186"/>
      <c r="O19" s="297">
        <f t="shared" si="2"/>
        <v>1417.6999999999998</v>
      </c>
    </row>
    <row r="20" spans="1:15" x14ac:dyDescent="0.2">
      <c r="A20" s="116"/>
      <c r="B20" s="185"/>
      <c r="C20" s="185"/>
      <c r="D20" s="186"/>
      <c r="E20" s="186"/>
      <c r="F20" s="186"/>
      <c r="G20" s="297">
        <f t="shared" si="0"/>
        <v>184.16000000000003</v>
      </c>
      <c r="I20" s="116"/>
      <c r="J20" s="185"/>
      <c r="K20" s="185"/>
      <c r="L20" s="186"/>
      <c r="M20" s="186"/>
      <c r="N20" s="186"/>
      <c r="O20" s="297">
        <f t="shared" si="2"/>
        <v>1417.6999999999998</v>
      </c>
    </row>
    <row r="21" spans="1:15" x14ac:dyDescent="0.2">
      <c r="A21" s="116"/>
      <c r="B21" s="185"/>
      <c r="C21" s="185"/>
      <c r="D21" s="186"/>
      <c r="E21" s="186"/>
      <c r="F21" s="186"/>
      <c r="G21" s="297">
        <f t="shared" si="0"/>
        <v>184.16000000000003</v>
      </c>
      <c r="I21" s="116"/>
      <c r="J21" s="185"/>
      <c r="K21" s="185"/>
      <c r="L21" s="186"/>
      <c r="M21" s="186"/>
      <c r="N21" s="186"/>
      <c r="O21" s="297">
        <f t="shared" si="2"/>
        <v>1417.6999999999998</v>
      </c>
    </row>
    <row r="22" spans="1:15" x14ac:dyDescent="0.2">
      <c r="A22" s="116"/>
      <c r="B22" s="185"/>
      <c r="C22" s="185"/>
      <c r="D22" s="186"/>
      <c r="E22" s="186"/>
      <c r="F22" s="186"/>
      <c r="G22" s="297">
        <f t="shared" si="0"/>
        <v>184.16000000000003</v>
      </c>
      <c r="I22" s="116"/>
      <c r="J22" s="185"/>
      <c r="K22" s="185"/>
      <c r="L22" s="186"/>
      <c r="M22" s="186"/>
      <c r="N22" s="186"/>
      <c r="O22" s="297">
        <f t="shared" si="2"/>
        <v>1417.6999999999998</v>
      </c>
    </row>
    <row r="23" spans="1:15" x14ac:dyDescent="0.2">
      <c r="A23" s="116"/>
      <c r="B23" s="185"/>
      <c r="C23" s="185"/>
      <c r="D23" s="185"/>
      <c r="E23" s="185"/>
      <c r="F23" s="186"/>
      <c r="G23" s="297">
        <f t="shared" si="0"/>
        <v>184.16000000000003</v>
      </c>
      <c r="I23" s="116"/>
      <c r="J23" s="185"/>
      <c r="K23" s="185"/>
      <c r="L23" s="186"/>
      <c r="M23" s="186"/>
      <c r="N23" s="186"/>
      <c r="O23" s="297">
        <f t="shared" si="2"/>
        <v>1417.6999999999998</v>
      </c>
    </row>
    <row r="24" spans="1:15" x14ac:dyDescent="0.2">
      <c r="A24" s="116"/>
      <c r="B24" s="185"/>
      <c r="C24" s="185"/>
      <c r="D24" s="186"/>
      <c r="E24" s="186"/>
      <c r="F24" s="186"/>
      <c r="G24" s="297">
        <f t="shared" si="0"/>
        <v>184.16000000000003</v>
      </c>
      <c r="I24" s="116"/>
      <c r="J24" s="185"/>
      <c r="K24" s="185"/>
      <c r="L24" s="186"/>
      <c r="M24" s="186"/>
      <c r="N24" s="186"/>
      <c r="O24" s="297">
        <f t="shared" si="2"/>
        <v>1417.6999999999998</v>
      </c>
    </row>
    <row r="25" spans="1:15" x14ac:dyDescent="0.2">
      <c r="A25" s="116"/>
      <c r="B25" s="185"/>
      <c r="C25" s="185"/>
      <c r="D25" s="186"/>
      <c r="E25" s="186"/>
      <c r="F25" s="186"/>
      <c r="G25" s="297">
        <f t="shared" si="0"/>
        <v>184.16000000000003</v>
      </c>
      <c r="I25" s="116"/>
      <c r="J25" s="185"/>
      <c r="K25" s="185"/>
      <c r="L25" s="186"/>
      <c r="M25" s="186"/>
      <c r="N25" s="186"/>
      <c r="O25" s="297">
        <f t="shared" si="2"/>
        <v>1417.6999999999998</v>
      </c>
    </row>
    <row r="26" spans="1:15" x14ac:dyDescent="0.2">
      <c r="A26" s="120"/>
      <c r="B26" s="117"/>
      <c r="C26" s="117"/>
      <c r="D26" s="165"/>
      <c r="E26" s="165"/>
      <c r="F26" s="165"/>
      <c r="G26" s="298">
        <f t="shared" si="0"/>
        <v>184.16000000000003</v>
      </c>
      <c r="I26" s="120"/>
      <c r="J26" s="117"/>
      <c r="K26" s="117"/>
      <c r="L26" s="165"/>
      <c r="M26" s="165"/>
      <c r="N26" s="165"/>
      <c r="O26" s="297">
        <f>O25+L29-M29-N29</f>
        <v>1417.6999999999998</v>
      </c>
    </row>
    <row r="27" spans="1:15" x14ac:dyDescent="0.2">
      <c r="A27" s="120"/>
      <c r="B27" s="117"/>
      <c r="C27" s="117"/>
      <c r="D27" s="165"/>
      <c r="E27" s="165"/>
      <c r="F27" s="165"/>
      <c r="G27" s="298">
        <f t="shared" si="0"/>
        <v>184.16000000000003</v>
      </c>
      <c r="I27" s="120"/>
      <c r="J27" s="117"/>
      <c r="K27" s="117"/>
      <c r="L27" s="165"/>
      <c r="M27" s="165"/>
      <c r="N27" s="165"/>
      <c r="O27" s="297">
        <f>O26+L30-M30-N30</f>
        <v>1417.6999999999998</v>
      </c>
    </row>
    <row r="28" spans="1:15" ht="13.5" thickBot="1" x14ac:dyDescent="0.25">
      <c r="A28" s="121"/>
      <c r="B28" s="122"/>
      <c r="C28" s="122"/>
      <c r="D28" s="167"/>
      <c r="E28" s="167"/>
      <c r="F28" s="167"/>
      <c r="G28" s="168">
        <f t="shared" si="0"/>
        <v>184.16000000000003</v>
      </c>
      <c r="I28" s="121"/>
      <c r="J28" s="122"/>
      <c r="K28" s="122"/>
      <c r="L28" s="167"/>
      <c r="M28" s="167"/>
      <c r="N28" s="167"/>
      <c r="O28" s="168">
        <f>SUM(O27+L28-M28-N28)</f>
        <v>1417.6999999999998</v>
      </c>
    </row>
    <row r="29" spans="1:15" ht="13.5" thickTop="1" x14ac:dyDescent="0.2">
      <c r="A29" s="113"/>
      <c r="B29" s="114"/>
      <c r="C29" s="114"/>
      <c r="D29" s="161"/>
      <c r="E29" s="161"/>
      <c r="F29" s="161"/>
      <c r="G29" s="162"/>
      <c r="I29" s="113"/>
      <c r="J29" s="114"/>
      <c r="K29" s="114"/>
      <c r="L29" s="161"/>
      <c r="M29" s="161"/>
      <c r="N29" s="161"/>
      <c r="O29" s="162"/>
    </row>
    <row r="30" spans="1:15" ht="13.5" thickBot="1" x14ac:dyDescent="0.25">
      <c r="A30" s="124" t="s">
        <v>3</v>
      </c>
      <c r="B30" s="125"/>
      <c r="C30" s="125"/>
      <c r="D30" s="159"/>
      <c r="E30" s="169"/>
      <c r="F30" s="169"/>
      <c r="G30" s="209">
        <f>G28</f>
        <v>184.16000000000003</v>
      </c>
      <c r="I30" s="124" t="s">
        <v>3</v>
      </c>
      <c r="J30" s="125"/>
      <c r="K30" s="125"/>
      <c r="L30" s="159"/>
      <c r="M30" s="169"/>
      <c r="N30" s="169"/>
      <c r="O30" s="209">
        <f>O28</f>
        <v>1417.6999999999998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100-000000000000}"/>
  </hyperlinks>
  <pageMargins left="0.7" right="0.7" top="0.75" bottom="0.75" header="0.3" footer="0.3"/>
  <pageSetup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A1:R35"/>
  <sheetViews>
    <sheetView zoomScaleNormal="100" workbookViewId="0">
      <selection activeCell="I12" sqref="I12"/>
    </sheetView>
  </sheetViews>
  <sheetFormatPr defaultRowHeight="12.75" x14ac:dyDescent="0.2"/>
  <cols>
    <col min="1" max="1" width="11.5703125" bestFit="1" customWidth="1"/>
    <col min="2" max="2" width="11.5703125" style="255" customWidth="1"/>
    <col min="3" max="3" width="25.7109375" customWidth="1"/>
    <col min="4" max="4" width="14.7109375" customWidth="1"/>
    <col min="5" max="5" width="5.42578125" bestFit="1" customWidth="1"/>
    <col min="6" max="6" width="12" bestFit="1" customWidth="1"/>
    <col min="7" max="7" width="11.5703125" bestFit="1" customWidth="1"/>
    <col min="9" max="9" width="11.5703125" bestFit="1" customWidth="1"/>
    <col min="10" max="10" width="11.5703125" customWidth="1"/>
    <col min="11" max="11" width="25.7109375" customWidth="1"/>
    <col min="12" max="12" width="14.7109375" customWidth="1"/>
    <col min="13" max="13" width="5.42578125" bestFit="1" customWidth="1"/>
    <col min="14" max="14" width="12" bestFit="1" customWidth="1"/>
    <col min="15" max="15" width="11.5703125" bestFit="1" customWidth="1"/>
  </cols>
  <sheetData>
    <row r="1" spans="1:18" ht="13.5" customHeight="1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8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8" ht="13.5" customHeight="1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8" ht="18" x14ac:dyDescent="0.2">
      <c r="A4" s="362" t="s">
        <v>50</v>
      </c>
      <c r="B4" s="363"/>
      <c r="C4" s="363"/>
      <c r="D4" s="363"/>
      <c r="E4" s="363"/>
      <c r="F4" s="363"/>
      <c r="G4" s="364"/>
      <c r="I4" s="362" t="s">
        <v>50</v>
      </c>
      <c r="J4" s="363"/>
      <c r="K4" s="363"/>
      <c r="L4" s="363"/>
      <c r="M4" s="363"/>
      <c r="N4" s="363"/>
      <c r="O4" s="364"/>
    </row>
    <row r="5" spans="1:18" ht="15.75" customHeight="1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8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8" ht="26.25" thickBot="1" x14ac:dyDescent="0.25">
      <c r="A7" s="175" t="s">
        <v>1</v>
      </c>
      <c r="B7" s="215" t="s">
        <v>12</v>
      </c>
      <c r="C7" s="176" t="s">
        <v>0</v>
      </c>
      <c r="D7" s="177" t="s">
        <v>2</v>
      </c>
      <c r="E7" s="252" t="s">
        <v>8</v>
      </c>
      <c r="F7" s="177" t="s">
        <v>5</v>
      </c>
      <c r="G7" s="178" t="s">
        <v>6</v>
      </c>
      <c r="H7" s="344" t="s">
        <v>228</v>
      </c>
      <c r="I7" s="175" t="s">
        <v>1</v>
      </c>
      <c r="J7" s="215" t="s">
        <v>12</v>
      </c>
      <c r="K7" s="176" t="s">
        <v>0</v>
      </c>
      <c r="L7" s="177" t="s">
        <v>2</v>
      </c>
      <c r="M7" s="252" t="s">
        <v>8</v>
      </c>
      <c r="N7" s="177" t="s">
        <v>5</v>
      </c>
      <c r="O7" s="178" t="s">
        <v>6</v>
      </c>
    </row>
    <row r="8" spans="1:18" x14ac:dyDescent="0.2">
      <c r="A8" s="247"/>
      <c r="B8" s="238"/>
      <c r="C8" s="238" t="s">
        <v>70</v>
      </c>
      <c r="D8" s="248"/>
      <c r="E8" s="248"/>
      <c r="F8" s="248"/>
      <c r="G8" s="249">
        <v>1480.09</v>
      </c>
      <c r="I8" s="14"/>
      <c r="J8" s="235"/>
      <c r="K8" s="63" t="s">
        <v>75</v>
      </c>
      <c r="L8" s="110"/>
      <c r="M8" s="110"/>
      <c r="N8" s="111"/>
      <c r="O8" s="249">
        <v>1979.92</v>
      </c>
    </row>
    <row r="9" spans="1:18" ht="30" customHeight="1" x14ac:dyDescent="0.2">
      <c r="A9" s="14">
        <v>42927</v>
      </c>
      <c r="B9" s="235"/>
      <c r="C9" s="310" t="s">
        <v>97</v>
      </c>
      <c r="D9" s="15"/>
      <c r="E9" s="15"/>
      <c r="F9" s="21">
        <v>325</v>
      </c>
      <c r="G9" s="22">
        <f>SUM(G8+D9-E9-F9)</f>
        <v>1155.0899999999999</v>
      </c>
      <c r="H9">
        <v>162</v>
      </c>
      <c r="I9" s="14">
        <v>43122</v>
      </c>
      <c r="J9" s="235">
        <v>11538659</v>
      </c>
      <c r="K9" s="310" t="s">
        <v>216</v>
      </c>
      <c r="L9" s="15"/>
      <c r="M9" s="10"/>
      <c r="N9" s="21">
        <v>1200</v>
      </c>
      <c r="O9" s="22">
        <f>SUM(O8+L9-M9-N9)</f>
        <v>779.92000000000007</v>
      </c>
    </row>
    <row r="10" spans="1:18" ht="38.25" x14ac:dyDescent="0.2">
      <c r="A10" s="14">
        <v>42947</v>
      </c>
      <c r="B10" s="235">
        <v>19172</v>
      </c>
      <c r="C10" s="63" t="s">
        <v>98</v>
      </c>
      <c r="D10" s="15"/>
      <c r="E10" s="15"/>
      <c r="F10" s="21">
        <f>624.25-93.63</f>
        <v>530.62</v>
      </c>
      <c r="G10" s="22">
        <f t="shared" ref="G10:G33" si="0">SUM(G9+D10-E10-F10)</f>
        <v>624.46999999999991</v>
      </c>
      <c r="H10">
        <v>500</v>
      </c>
      <c r="I10" s="69">
        <v>43130</v>
      </c>
      <c r="J10" s="265">
        <v>11545343</v>
      </c>
      <c r="K10" s="335" t="s">
        <v>223</v>
      </c>
      <c r="L10" s="15"/>
      <c r="M10" s="10"/>
      <c r="N10" s="21">
        <v>605.91999999999996</v>
      </c>
      <c r="O10" s="22">
        <f t="shared" ref="O10:O24" si="1">SUM(O9+L10-M10-N10)</f>
        <v>174.00000000000011</v>
      </c>
    </row>
    <row r="11" spans="1:18" x14ac:dyDescent="0.2">
      <c r="A11" s="14">
        <v>42947</v>
      </c>
      <c r="B11" s="235">
        <v>19173</v>
      </c>
      <c r="C11" s="63" t="s">
        <v>99</v>
      </c>
      <c r="D11" s="15"/>
      <c r="E11" s="15"/>
      <c r="F11" s="21">
        <v>76</v>
      </c>
      <c r="G11" s="22">
        <f t="shared" si="0"/>
        <v>548.46999999999991</v>
      </c>
      <c r="H11">
        <v>0</v>
      </c>
      <c r="I11" s="14">
        <v>43154</v>
      </c>
      <c r="J11" s="213" t="s">
        <v>249</v>
      </c>
      <c r="K11" s="63" t="s">
        <v>250</v>
      </c>
      <c r="L11" s="15"/>
      <c r="M11" s="10"/>
      <c r="N11" s="52">
        <f>239.53-65.53</f>
        <v>174</v>
      </c>
      <c r="O11" s="22">
        <f t="shared" si="1"/>
        <v>1.1368683772161603E-13</v>
      </c>
    </row>
    <row r="12" spans="1:18" ht="25.5" x14ac:dyDescent="0.2">
      <c r="A12" s="47">
        <v>43000</v>
      </c>
      <c r="B12" s="257" t="s">
        <v>103</v>
      </c>
      <c r="C12" s="324" t="s">
        <v>102</v>
      </c>
      <c r="D12" s="15"/>
      <c r="E12" s="15"/>
      <c r="F12" s="21">
        <v>148</v>
      </c>
      <c r="G12" s="22">
        <f t="shared" si="0"/>
        <v>400.46999999999991</v>
      </c>
      <c r="H12">
        <v>148</v>
      </c>
      <c r="I12" s="14"/>
      <c r="J12" s="213"/>
      <c r="K12" s="63"/>
      <c r="L12" s="15"/>
      <c r="M12" s="10"/>
      <c r="N12" s="21"/>
      <c r="O12" s="22">
        <f t="shared" si="1"/>
        <v>1.1368683772161603E-13</v>
      </c>
    </row>
    <row r="13" spans="1:18" x14ac:dyDescent="0.2">
      <c r="A13" s="14">
        <v>43076</v>
      </c>
      <c r="B13" s="235" t="s">
        <v>192</v>
      </c>
      <c r="C13" s="63" t="s">
        <v>193</v>
      </c>
      <c r="D13" s="15"/>
      <c r="E13" s="15"/>
      <c r="F13" s="21">
        <f>36-5.4</f>
        <v>30.6</v>
      </c>
      <c r="G13" s="22">
        <f t="shared" si="0"/>
        <v>369.86999999999989</v>
      </c>
      <c r="H13">
        <v>125</v>
      </c>
      <c r="I13" s="14"/>
      <c r="J13" s="235"/>
      <c r="K13" s="63"/>
      <c r="L13" s="15"/>
      <c r="M13" s="10"/>
      <c r="N13" s="21"/>
      <c r="O13" s="22">
        <f t="shared" si="1"/>
        <v>1.1368683772161603E-13</v>
      </c>
    </row>
    <row r="14" spans="1:18" x14ac:dyDescent="0.2">
      <c r="A14" s="14"/>
      <c r="B14" s="213"/>
      <c r="C14" s="63"/>
      <c r="D14" s="15"/>
      <c r="E14" s="10"/>
      <c r="F14" s="21"/>
      <c r="G14" s="22">
        <f t="shared" si="0"/>
        <v>369.86999999999989</v>
      </c>
      <c r="I14" s="14"/>
      <c r="J14" s="213"/>
      <c r="K14" s="63"/>
      <c r="L14" s="15"/>
      <c r="M14" s="10"/>
      <c r="N14" s="21"/>
      <c r="O14" s="22">
        <f t="shared" si="1"/>
        <v>1.1368683772161603E-13</v>
      </c>
    </row>
    <row r="15" spans="1:18" x14ac:dyDescent="0.2">
      <c r="A15" s="14"/>
      <c r="B15" s="213"/>
      <c r="C15" s="63"/>
      <c r="D15" s="110"/>
      <c r="E15" s="110"/>
      <c r="F15" s="111"/>
      <c r="G15" s="22">
        <f t="shared" si="0"/>
        <v>369.86999999999989</v>
      </c>
      <c r="I15" s="14"/>
      <c r="J15" s="213"/>
      <c r="K15" s="63"/>
      <c r="L15" s="110"/>
      <c r="M15" s="110"/>
      <c r="N15" s="111"/>
      <c r="O15" s="22">
        <f t="shared" si="1"/>
        <v>1.1368683772161603E-13</v>
      </c>
      <c r="R15" t="s">
        <v>114</v>
      </c>
    </row>
    <row r="16" spans="1:18" x14ac:dyDescent="0.2">
      <c r="A16" s="14"/>
      <c r="B16" s="235"/>
      <c r="C16" s="63"/>
      <c r="D16" s="110"/>
      <c r="E16" s="110"/>
      <c r="F16" s="111"/>
      <c r="G16" s="22">
        <f t="shared" si="0"/>
        <v>369.86999999999989</v>
      </c>
      <c r="H16" s="88"/>
      <c r="I16" s="14"/>
      <c r="J16" s="235"/>
      <c r="K16" s="63"/>
      <c r="L16" s="110"/>
      <c r="M16" s="110"/>
      <c r="N16" s="111"/>
      <c r="O16" s="22">
        <f t="shared" si="1"/>
        <v>1.1368683772161603E-13</v>
      </c>
    </row>
    <row r="17" spans="1:15" s="49" customFormat="1" x14ac:dyDescent="0.2">
      <c r="A17" s="14"/>
      <c r="B17" s="235"/>
      <c r="C17" s="63"/>
      <c r="D17" s="15"/>
      <c r="E17" s="10"/>
      <c r="F17" s="21"/>
      <c r="G17" s="22">
        <f t="shared" si="0"/>
        <v>369.86999999999989</v>
      </c>
      <c r="H17" s="67"/>
      <c r="I17" s="14"/>
      <c r="J17" s="235"/>
      <c r="K17" s="63"/>
      <c r="L17" s="15"/>
      <c r="M17" s="10"/>
      <c r="N17" s="21"/>
      <c r="O17" s="22">
        <f t="shared" si="1"/>
        <v>1.1368683772161603E-13</v>
      </c>
    </row>
    <row r="18" spans="1:15" s="49" customFormat="1" x14ac:dyDescent="0.2">
      <c r="A18" s="14"/>
      <c r="B18" s="257"/>
      <c r="C18" s="63"/>
      <c r="D18" s="15"/>
      <c r="E18" s="10"/>
      <c r="F18" s="21"/>
      <c r="G18" s="22">
        <f t="shared" si="0"/>
        <v>369.86999999999989</v>
      </c>
      <c r="H18" s="67"/>
      <c r="I18" s="14"/>
      <c r="J18" s="257"/>
      <c r="K18" s="63"/>
      <c r="L18" s="15"/>
      <c r="M18" s="10"/>
      <c r="N18" s="21"/>
      <c r="O18" s="22">
        <f t="shared" si="1"/>
        <v>1.1368683772161603E-13</v>
      </c>
    </row>
    <row r="19" spans="1:15" x14ac:dyDescent="0.2">
      <c r="A19" s="14"/>
      <c r="B19" s="213"/>
      <c r="C19" s="63"/>
      <c r="D19" s="15"/>
      <c r="E19" s="10"/>
      <c r="F19" s="21"/>
      <c r="G19" s="22">
        <f t="shared" si="0"/>
        <v>369.86999999999989</v>
      </c>
      <c r="I19" s="14"/>
      <c r="J19" s="213"/>
      <c r="K19" s="63"/>
      <c r="L19" s="15"/>
      <c r="M19" s="10"/>
      <c r="N19" s="21"/>
      <c r="O19" s="22">
        <f t="shared" si="1"/>
        <v>1.1368683772161603E-13</v>
      </c>
    </row>
    <row r="20" spans="1:15" x14ac:dyDescent="0.2">
      <c r="A20" s="14"/>
      <c r="B20" s="213"/>
      <c r="C20" s="63"/>
      <c r="D20" s="15"/>
      <c r="E20" s="10"/>
      <c r="F20" s="21"/>
      <c r="G20" s="22">
        <f t="shared" si="0"/>
        <v>369.86999999999989</v>
      </c>
      <c r="I20" s="14"/>
      <c r="J20" s="213"/>
      <c r="K20" s="63"/>
      <c r="L20" s="15"/>
      <c r="M20" s="10"/>
      <c r="N20" s="21"/>
      <c r="O20" s="22">
        <f t="shared" si="1"/>
        <v>1.1368683772161603E-13</v>
      </c>
    </row>
    <row r="21" spans="1:15" x14ac:dyDescent="0.2">
      <c r="A21" s="14"/>
      <c r="B21" s="213"/>
      <c r="C21" s="9"/>
      <c r="D21" s="15"/>
      <c r="E21" s="10"/>
      <c r="F21" s="21"/>
      <c r="G21" s="22">
        <f t="shared" si="0"/>
        <v>369.86999999999989</v>
      </c>
      <c r="I21" s="14"/>
      <c r="J21" s="213"/>
      <c r="K21" s="9"/>
      <c r="L21" s="15"/>
      <c r="M21" s="10"/>
      <c r="N21" s="21"/>
      <c r="O21" s="22">
        <f t="shared" si="1"/>
        <v>1.1368683772161603E-13</v>
      </c>
    </row>
    <row r="22" spans="1:15" x14ac:dyDescent="0.2">
      <c r="A22" s="14"/>
      <c r="B22" s="213"/>
      <c r="C22" s="9"/>
      <c r="D22" s="15"/>
      <c r="E22" s="10"/>
      <c r="F22" s="21"/>
      <c r="G22" s="22">
        <f t="shared" si="0"/>
        <v>369.86999999999989</v>
      </c>
      <c r="I22" s="14"/>
      <c r="J22" s="213"/>
      <c r="K22" s="9"/>
      <c r="L22" s="15"/>
      <c r="M22" s="10"/>
      <c r="N22" s="21"/>
      <c r="O22" s="22">
        <f t="shared" si="1"/>
        <v>1.1368683772161603E-13</v>
      </c>
    </row>
    <row r="23" spans="1:15" x14ac:dyDescent="0.2">
      <c r="A23" s="29"/>
      <c r="B23" s="257"/>
      <c r="C23" s="27"/>
      <c r="D23" s="10"/>
      <c r="E23" s="10"/>
      <c r="F23" s="10"/>
      <c r="G23" s="22">
        <f t="shared" si="0"/>
        <v>369.86999999999989</v>
      </c>
      <c r="I23" s="29"/>
      <c r="J23" s="257"/>
      <c r="K23" s="27"/>
      <c r="L23" s="10"/>
      <c r="M23" s="10"/>
      <c r="N23" s="10"/>
      <c r="O23" s="22">
        <f t="shared" si="1"/>
        <v>1.1368683772161603E-13</v>
      </c>
    </row>
    <row r="24" spans="1:15" x14ac:dyDescent="0.2">
      <c r="A24" s="29"/>
      <c r="B24" s="257"/>
      <c r="C24" s="27"/>
      <c r="D24" s="10"/>
      <c r="E24" s="10"/>
      <c r="F24" s="10"/>
      <c r="G24" s="22">
        <f t="shared" si="0"/>
        <v>369.86999999999989</v>
      </c>
      <c r="I24" s="29"/>
      <c r="J24" s="257"/>
      <c r="K24" s="27"/>
      <c r="L24" s="10"/>
      <c r="M24" s="10"/>
      <c r="N24" s="10"/>
      <c r="O24" s="22">
        <f t="shared" si="1"/>
        <v>1.1368683772161603E-13</v>
      </c>
    </row>
    <row r="25" spans="1:15" x14ac:dyDescent="0.2">
      <c r="A25" s="29"/>
      <c r="B25" s="257"/>
      <c r="C25" s="27"/>
      <c r="D25" s="10"/>
      <c r="E25" s="10"/>
      <c r="F25" s="10"/>
      <c r="G25" s="22">
        <f t="shared" si="0"/>
        <v>369.86999999999989</v>
      </c>
      <c r="I25" s="29"/>
      <c r="J25" s="257"/>
      <c r="K25" s="27"/>
      <c r="L25" s="10"/>
      <c r="M25" s="10"/>
      <c r="N25" s="10"/>
      <c r="O25" s="22">
        <f>SUM(O24+L27-M27-N27)</f>
        <v>1.1368683772161603E-13</v>
      </c>
    </row>
    <row r="26" spans="1:15" x14ac:dyDescent="0.2">
      <c r="A26" s="29"/>
      <c r="B26" s="257"/>
      <c r="C26" s="27"/>
      <c r="D26" s="10"/>
      <c r="E26" s="10"/>
      <c r="F26" s="10"/>
      <c r="G26" s="22">
        <f t="shared" si="0"/>
        <v>369.86999999999989</v>
      </c>
      <c r="I26" s="29"/>
      <c r="J26" s="257"/>
      <c r="K26" s="27"/>
      <c r="L26" s="10"/>
      <c r="M26" s="10"/>
      <c r="N26" s="10"/>
      <c r="O26" s="22">
        <f t="shared" ref="O26" si="2">SUM(O25+L23-M23-N23)</f>
        <v>1.1368683772161603E-13</v>
      </c>
    </row>
    <row r="27" spans="1:15" x14ac:dyDescent="0.2">
      <c r="A27" s="29"/>
      <c r="B27" s="257"/>
      <c r="C27" s="27"/>
      <c r="D27" s="10"/>
      <c r="E27" s="10"/>
      <c r="F27" s="10"/>
      <c r="G27" s="22">
        <f t="shared" si="0"/>
        <v>369.86999999999989</v>
      </c>
      <c r="I27" s="29"/>
      <c r="J27" s="257"/>
      <c r="K27" s="27"/>
      <c r="L27" s="10"/>
      <c r="M27" s="10"/>
      <c r="N27" s="10"/>
      <c r="O27" s="22">
        <f t="shared" ref="O27:O33" si="3">SUM(O26+L26-M26-N26)</f>
        <v>1.1368683772161603E-13</v>
      </c>
    </row>
    <row r="28" spans="1:15" x14ac:dyDescent="0.2">
      <c r="A28" s="29"/>
      <c r="B28" s="257"/>
      <c r="C28" s="27"/>
      <c r="D28" s="10"/>
      <c r="E28" s="10"/>
      <c r="F28" s="10"/>
      <c r="G28" s="22">
        <f t="shared" si="0"/>
        <v>369.86999999999989</v>
      </c>
      <c r="I28" s="29"/>
      <c r="J28" s="257"/>
      <c r="K28" s="27"/>
      <c r="L28" s="10"/>
      <c r="M28" s="10"/>
      <c r="N28" s="10"/>
      <c r="O28" s="22">
        <f t="shared" si="3"/>
        <v>1.1368683772161603E-13</v>
      </c>
    </row>
    <row r="29" spans="1:15" x14ac:dyDescent="0.2">
      <c r="A29" s="29"/>
      <c r="B29" s="257"/>
      <c r="C29" s="27"/>
      <c r="D29" s="10"/>
      <c r="E29" s="10"/>
      <c r="F29" s="10"/>
      <c r="G29" s="22">
        <f t="shared" si="0"/>
        <v>369.86999999999989</v>
      </c>
      <c r="I29" s="29"/>
      <c r="J29" s="257"/>
      <c r="K29" s="27"/>
      <c r="L29" s="10"/>
      <c r="M29" s="10"/>
      <c r="N29" s="10"/>
      <c r="O29" s="22">
        <f t="shared" si="3"/>
        <v>1.1368683772161603E-13</v>
      </c>
    </row>
    <row r="30" spans="1:15" x14ac:dyDescent="0.2">
      <c r="A30" s="29"/>
      <c r="B30" s="257"/>
      <c r="C30" s="27"/>
      <c r="D30" s="10"/>
      <c r="E30" s="10"/>
      <c r="F30" s="10"/>
      <c r="G30" s="22">
        <f t="shared" si="0"/>
        <v>369.86999999999989</v>
      </c>
      <c r="I30" s="29"/>
      <c r="J30" s="257"/>
      <c r="K30" s="27"/>
      <c r="L30" s="10"/>
      <c r="M30" s="10"/>
      <c r="N30" s="10"/>
      <c r="O30" s="22">
        <f t="shared" si="3"/>
        <v>1.1368683772161603E-13</v>
      </c>
    </row>
    <row r="31" spans="1:15" x14ac:dyDescent="0.2">
      <c r="A31" s="29"/>
      <c r="B31" s="257"/>
      <c r="C31" s="27"/>
      <c r="D31" s="10"/>
      <c r="E31" s="10"/>
      <c r="F31" s="10"/>
      <c r="G31" s="22">
        <f t="shared" si="0"/>
        <v>369.86999999999989</v>
      </c>
      <c r="I31" s="29"/>
      <c r="J31" s="257"/>
      <c r="K31" s="27"/>
      <c r="L31" s="10"/>
      <c r="M31" s="10"/>
      <c r="N31" s="10"/>
      <c r="O31" s="22">
        <f t="shared" si="3"/>
        <v>1.1368683772161603E-13</v>
      </c>
    </row>
    <row r="32" spans="1:15" x14ac:dyDescent="0.2">
      <c r="A32" s="29"/>
      <c r="B32" s="257"/>
      <c r="C32" s="27"/>
      <c r="D32" s="10"/>
      <c r="E32" s="10"/>
      <c r="F32" s="10"/>
      <c r="G32" s="22">
        <f t="shared" si="0"/>
        <v>369.86999999999989</v>
      </c>
      <c r="I32" s="29"/>
      <c r="J32" s="257"/>
      <c r="K32" s="27"/>
      <c r="L32" s="10"/>
      <c r="M32" s="10"/>
      <c r="N32" s="10"/>
      <c r="O32" s="22">
        <f t="shared" si="3"/>
        <v>1.1368683772161603E-13</v>
      </c>
    </row>
    <row r="33" spans="1:15" ht="13.5" thickBot="1" x14ac:dyDescent="0.25">
      <c r="A33" s="34"/>
      <c r="B33" s="258"/>
      <c r="C33" s="32"/>
      <c r="D33" s="33"/>
      <c r="E33" s="33"/>
      <c r="F33" s="33"/>
      <c r="G33" s="22">
        <f t="shared" si="0"/>
        <v>369.86999999999989</v>
      </c>
      <c r="I33" s="34"/>
      <c r="J33" s="258"/>
      <c r="K33" s="32"/>
      <c r="L33" s="33"/>
      <c r="M33" s="33"/>
      <c r="N33" s="33"/>
      <c r="O33" s="31">
        <f t="shared" si="3"/>
        <v>1.1368683772161603E-13</v>
      </c>
    </row>
    <row r="34" spans="1:15" ht="13.5" thickTop="1" x14ac:dyDescent="0.2">
      <c r="A34" s="3"/>
      <c r="B34" s="256"/>
      <c r="C34" s="4"/>
      <c r="D34" s="5"/>
      <c r="E34" s="5"/>
      <c r="F34" s="5"/>
      <c r="G34" s="18"/>
      <c r="I34" s="3"/>
      <c r="J34" s="256"/>
      <c r="K34" s="4"/>
      <c r="L34" s="5"/>
      <c r="M34" s="5"/>
      <c r="N34" s="5"/>
      <c r="O34" s="18"/>
    </row>
    <row r="35" spans="1:15" ht="13.5" thickBot="1" x14ac:dyDescent="0.25">
      <c r="A35" s="8" t="s">
        <v>3</v>
      </c>
      <c r="B35" s="259"/>
      <c r="C35" s="6"/>
      <c r="D35" s="13"/>
      <c r="E35" s="7"/>
      <c r="F35" s="7"/>
      <c r="G35" s="212">
        <f>G33</f>
        <v>369.86999999999989</v>
      </c>
      <c r="I35" s="8" t="s">
        <v>3</v>
      </c>
      <c r="J35" s="259"/>
      <c r="K35" s="6"/>
      <c r="L35" s="13"/>
      <c r="M35" s="7"/>
      <c r="N35" s="7"/>
      <c r="O35" s="212">
        <f>O33</f>
        <v>1.1368683772161603E-13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1300-000000000000}"/>
  </hyperlinks>
  <pageMargins left="0.75" right="0.75" top="1" bottom="1" header="0.5" footer="0.5"/>
  <pageSetup scale="91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/>
  <dimension ref="A1:R25"/>
  <sheetViews>
    <sheetView topLeftCell="D1" workbookViewId="0">
      <selection activeCell="N11" sqref="N11"/>
    </sheetView>
  </sheetViews>
  <sheetFormatPr defaultRowHeight="12" customHeight="1" x14ac:dyDescent="0.2"/>
  <cols>
    <col min="1" max="1" width="10.140625" bestFit="1" customWidth="1"/>
    <col min="2" max="2" width="10.5703125" bestFit="1" customWidth="1"/>
    <col min="3" max="3" width="32.5703125" customWidth="1"/>
    <col min="4" max="4" width="8.140625" bestFit="1" customWidth="1"/>
    <col min="5" max="5" width="13.7109375" bestFit="1" customWidth="1"/>
    <col min="7" max="7" width="11" customWidth="1"/>
    <col min="8" max="8" width="8.140625" customWidth="1"/>
    <col min="9" max="9" width="10.140625" bestFit="1" customWidth="1"/>
    <col min="10" max="10" width="10.5703125" bestFit="1" customWidth="1"/>
    <col min="11" max="11" width="32.5703125" customWidth="1"/>
    <col min="12" max="12" width="8.140625" bestFit="1" customWidth="1"/>
    <col min="13" max="13" width="13.7109375" bestFit="1" customWidth="1"/>
    <col min="15" max="15" width="13.85546875" customWidth="1"/>
  </cols>
  <sheetData>
    <row r="1" spans="1:18" ht="12" customHeight="1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8" ht="12" customHeight="1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8" ht="12" customHeight="1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8" ht="18" customHeight="1" x14ac:dyDescent="0.2">
      <c r="A4" s="362" t="s">
        <v>150</v>
      </c>
      <c r="B4" s="363"/>
      <c r="C4" s="363"/>
      <c r="D4" s="363"/>
      <c r="E4" s="363"/>
      <c r="F4" s="363"/>
      <c r="G4" s="364"/>
      <c r="I4" s="362" t="s">
        <v>150</v>
      </c>
      <c r="J4" s="363"/>
      <c r="K4" s="363"/>
      <c r="L4" s="363"/>
      <c r="M4" s="363"/>
      <c r="N4" s="363"/>
      <c r="O4" s="364"/>
    </row>
    <row r="5" spans="1:18" ht="15" customHeight="1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8" ht="12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8" ht="26.25" thickBot="1" x14ac:dyDescent="0.25">
      <c r="A7" s="146" t="s">
        <v>1</v>
      </c>
      <c r="B7" s="214" t="s">
        <v>12</v>
      </c>
      <c r="C7" s="147" t="s">
        <v>0</v>
      </c>
      <c r="D7" s="226" t="s">
        <v>2</v>
      </c>
      <c r="E7" s="226" t="s">
        <v>4</v>
      </c>
      <c r="F7" s="226" t="s">
        <v>5</v>
      </c>
      <c r="G7" s="227" t="s">
        <v>6</v>
      </c>
      <c r="I7" s="146" t="s">
        <v>1</v>
      </c>
      <c r="J7" s="214" t="s">
        <v>12</v>
      </c>
      <c r="K7" s="147" t="s">
        <v>0</v>
      </c>
      <c r="L7" s="226" t="s">
        <v>2</v>
      </c>
      <c r="M7" s="226" t="s">
        <v>4</v>
      </c>
      <c r="N7" s="226" t="s">
        <v>5</v>
      </c>
      <c r="O7" s="227" t="s">
        <v>6</v>
      </c>
    </row>
    <row r="8" spans="1:18" ht="12" customHeight="1" x14ac:dyDescent="0.2">
      <c r="A8" s="247"/>
      <c r="B8" s="238"/>
      <c r="C8" s="238" t="s">
        <v>70</v>
      </c>
      <c r="D8" s="248"/>
      <c r="E8" s="248"/>
      <c r="F8" s="248"/>
      <c r="G8" s="249">
        <v>599.42999999999995</v>
      </c>
      <c r="I8" s="247"/>
      <c r="J8" s="238"/>
      <c r="K8" s="238" t="s">
        <v>74</v>
      </c>
      <c r="L8" s="248"/>
      <c r="M8" s="248"/>
      <c r="N8" s="248"/>
      <c r="O8" s="249">
        <v>1125.3800000000001</v>
      </c>
    </row>
    <row r="9" spans="1:18" ht="12" customHeight="1" x14ac:dyDescent="0.2">
      <c r="A9" s="14">
        <v>43069</v>
      </c>
      <c r="B9" s="9" t="s">
        <v>151</v>
      </c>
      <c r="C9" s="9" t="s">
        <v>152</v>
      </c>
      <c r="D9" s="74"/>
      <c r="E9" s="74"/>
      <c r="F9" s="75">
        <f>254.36-38.15</f>
        <v>216.21</v>
      </c>
      <c r="G9" s="81">
        <f>SUM(G8+D9-E9-F9)</f>
        <v>383.21999999999991</v>
      </c>
      <c r="I9" s="14">
        <v>43136</v>
      </c>
      <c r="J9" s="9" t="s">
        <v>235</v>
      </c>
      <c r="K9" s="9" t="s">
        <v>236</v>
      </c>
      <c r="L9" s="74"/>
      <c r="M9" s="74"/>
      <c r="N9" s="75">
        <f>42.75</f>
        <v>42.75</v>
      </c>
      <c r="O9" s="81">
        <f>SUM(O8+L9-M9-N9)</f>
        <v>1082.6300000000001</v>
      </c>
    </row>
    <row r="10" spans="1:18" ht="25.5" x14ac:dyDescent="0.2">
      <c r="A10" s="14">
        <v>43056</v>
      </c>
      <c r="B10" s="9" t="s">
        <v>105</v>
      </c>
      <c r="C10" s="9" t="s">
        <v>178</v>
      </c>
      <c r="D10" s="74"/>
      <c r="E10" s="74"/>
      <c r="F10" s="74">
        <f>81.91+81.91+81.91+81.91-4.43-4.43-4.43-4.43</f>
        <v>309.91999999999996</v>
      </c>
      <c r="G10" s="81">
        <f t="shared" ref="G10:G14" si="0">SUM(G9+D10-E10-F10)</f>
        <v>73.299999999999955</v>
      </c>
      <c r="I10" s="14">
        <v>43220</v>
      </c>
      <c r="J10" s="9" t="s">
        <v>105</v>
      </c>
      <c r="K10" s="60" t="s">
        <v>339</v>
      </c>
      <c r="L10" s="74"/>
      <c r="M10" s="74"/>
      <c r="N10" s="74">
        <v>712.5</v>
      </c>
      <c r="O10" s="81">
        <f t="shared" ref="O10:O22" si="1">SUM(O9+L10-M10-N10)</f>
        <v>370.13000000000011</v>
      </c>
    </row>
    <row r="11" spans="1:18" ht="12" customHeight="1" x14ac:dyDescent="0.2">
      <c r="A11" s="14">
        <v>43080</v>
      </c>
      <c r="B11" s="9"/>
      <c r="C11" s="9" t="s">
        <v>198</v>
      </c>
      <c r="D11" s="74"/>
      <c r="E11" s="74"/>
      <c r="F11" s="74">
        <f>9.5*2</f>
        <v>19</v>
      </c>
      <c r="G11" s="81">
        <f t="shared" si="0"/>
        <v>54.299999999999955</v>
      </c>
      <c r="I11" s="14"/>
      <c r="J11" s="9"/>
      <c r="K11" s="9"/>
      <c r="L11" s="74"/>
      <c r="M11" s="74"/>
      <c r="N11" s="74"/>
      <c r="O11" s="81">
        <f t="shared" si="1"/>
        <v>370.13000000000011</v>
      </c>
    </row>
    <row r="12" spans="1:18" ht="12" customHeight="1" x14ac:dyDescent="0.2">
      <c r="A12" s="14"/>
      <c r="B12" s="9"/>
      <c r="C12" s="9"/>
      <c r="D12" s="74"/>
      <c r="E12" s="74"/>
      <c r="F12" s="74"/>
      <c r="G12" s="81">
        <f t="shared" si="0"/>
        <v>54.299999999999955</v>
      </c>
      <c r="I12" s="14"/>
      <c r="J12" s="9"/>
      <c r="K12" s="9"/>
      <c r="L12" s="74"/>
      <c r="M12" s="74"/>
      <c r="N12" s="74"/>
      <c r="O12" s="81">
        <f t="shared" si="1"/>
        <v>370.13000000000011</v>
      </c>
    </row>
    <row r="13" spans="1:18" ht="12" customHeight="1" x14ac:dyDescent="0.2">
      <c r="A13" s="14"/>
      <c r="B13" s="9"/>
      <c r="C13" s="9"/>
      <c r="D13" s="74"/>
      <c r="E13" s="74"/>
      <c r="F13" s="74"/>
      <c r="G13" s="81">
        <f t="shared" si="0"/>
        <v>54.299999999999955</v>
      </c>
      <c r="I13" s="14"/>
      <c r="J13" s="9"/>
      <c r="K13" s="9"/>
      <c r="L13" s="74"/>
      <c r="M13" s="74"/>
      <c r="N13" s="74"/>
      <c r="O13" s="81">
        <f t="shared" si="1"/>
        <v>370.13000000000011</v>
      </c>
    </row>
    <row r="14" spans="1:18" ht="12" customHeight="1" x14ac:dyDescent="0.2">
      <c r="A14" s="14"/>
      <c r="B14" s="9"/>
      <c r="C14" s="9"/>
      <c r="D14" s="74"/>
      <c r="E14" s="74"/>
      <c r="F14" s="74"/>
      <c r="G14" s="81">
        <f t="shared" si="0"/>
        <v>54.299999999999955</v>
      </c>
      <c r="I14" s="14"/>
      <c r="J14" s="9"/>
      <c r="K14" s="9"/>
      <c r="L14" s="74"/>
      <c r="M14" s="74"/>
      <c r="N14" s="74"/>
      <c r="O14" s="81">
        <f t="shared" si="1"/>
        <v>370.13000000000011</v>
      </c>
      <c r="R14" t="s">
        <v>114</v>
      </c>
    </row>
    <row r="15" spans="1:18" ht="12" customHeight="1" x14ac:dyDescent="0.2">
      <c r="A15" s="14"/>
      <c r="B15" s="9"/>
      <c r="C15" s="9"/>
      <c r="D15" s="74"/>
      <c r="E15" s="74"/>
      <c r="F15" s="74"/>
      <c r="G15" s="85">
        <f t="shared" ref="G15:G22" si="2">SUM(G14+D15-E15-F15)</f>
        <v>54.299999999999955</v>
      </c>
      <c r="I15" s="14"/>
      <c r="J15" s="9"/>
      <c r="K15" s="9"/>
      <c r="L15" s="74"/>
      <c r="M15" s="74"/>
      <c r="N15" s="74"/>
      <c r="O15" s="85">
        <f t="shared" si="1"/>
        <v>370.13000000000011</v>
      </c>
    </row>
    <row r="16" spans="1:18" ht="12" customHeight="1" x14ac:dyDescent="0.2">
      <c r="A16" s="14"/>
      <c r="B16" s="9"/>
      <c r="C16" s="9"/>
      <c r="D16" s="74"/>
      <c r="E16" s="74"/>
      <c r="F16" s="74"/>
      <c r="G16" s="85">
        <f t="shared" si="2"/>
        <v>54.299999999999955</v>
      </c>
      <c r="I16" s="14"/>
      <c r="J16" s="9"/>
      <c r="K16" s="9"/>
      <c r="L16" s="74"/>
      <c r="M16" s="74"/>
      <c r="N16" s="74"/>
      <c r="O16" s="85">
        <f t="shared" si="1"/>
        <v>370.13000000000011</v>
      </c>
    </row>
    <row r="17" spans="1:15" ht="12" customHeight="1" x14ac:dyDescent="0.2">
      <c r="A17" s="14"/>
      <c r="B17" s="9"/>
      <c r="C17" s="9"/>
      <c r="D17" s="74"/>
      <c r="E17" s="74"/>
      <c r="F17" s="74"/>
      <c r="G17" s="85">
        <f t="shared" si="2"/>
        <v>54.299999999999955</v>
      </c>
      <c r="I17" s="14"/>
      <c r="J17" s="9"/>
      <c r="K17" s="9"/>
      <c r="L17" s="74"/>
      <c r="M17" s="74"/>
      <c r="N17" s="74"/>
      <c r="O17" s="85">
        <f t="shared" si="1"/>
        <v>370.13000000000011</v>
      </c>
    </row>
    <row r="18" spans="1:15" ht="12" customHeight="1" x14ac:dyDescent="0.2">
      <c r="A18" s="14"/>
      <c r="B18" s="9"/>
      <c r="C18" s="9"/>
      <c r="D18" s="74"/>
      <c r="E18" s="74"/>
      <c r="F18" s="74"/>
      <c r="G18" s="85">
        <f t="shared" si="2"/>
        <v>54.299999999999955</v>
      </c>
      <c r="I18" s="16"/>
      <c r="J18" s="9"/>
      <c r="K18" s="9"/>
      <c r="L18" s="74"/>
      <c r="M18" s="74"/>
      <c r="N18" s="74"/>
      <c r="O18" s="85">
        <f t="shared" si="1"/>
        <v>370.13000000000011</v>
      </c>
    </row>
    <row r="19" spans="1:15" ht="12" customHeight="1" x14ac:dyDescent="0.2">
      <c r="A19" s="14"/>
      <c r="B19" s="9"/>
      <c r="C19" s="9"/>
      <c r="D19" s="74"/>
      <c r="E19" s="74"/>
      <c r="F19" s="74"/>
      <c r="G19" s="85">
        <f t="shared" si="2"/>
        <v>54.299999999999955</v>
      </c>
      <c r="I19" s="16"/>
      <c r="J19" s="9"/>
      <c r="K19" s="9"/>
      <c r="L19" s="74"/>
      <c r="M19" s="74"/>
      <c r="N19" s="74"/>
      <c r="O19" s="85">
        <f t="shared" si="1"/>
        <v>370.13000000000011</v>
      </c>
    </row>
    <row r="20" spans="1:15" ht="12" customHeight="1" x14ac:dyDescent="0.2">
      <c r="A20" s="14"/>
      <c r="B20" s="9"/>
      <c r="C20" s="9"/>
      <c r="D20" s="74"/>
      <c r="E20" s="74"/>
      <c r="F20" s="74"/>
      <c r="G20" s="85">
        <f t="shared" si="2"/>
        <v>54.299999999999955</v>
      </c>
      <c r="I20" s="16"/>
      <c r="J20" s="9"/>
      <c r="K20" s="9"/>
      <c r="L20" s="74"/>
      <c r="M20" s="74"/>
      <c r="N20" s="74"/>
      <c r="O20" s="85">
        <f t="shared" si="1"/>
        <v>370.13000000000011</v>
      </c>
    </row>
    <row r="21" spans="1:15" ht="12" customHeight="1" x14ac:dyDescent="0.2">
      <c r="A21" s="14"/>
      <c r="B21" s="9"/>
      <c r="C21" s="9"/>
      <c r="D21" s="74"/>
      <c r="E21" s="74"/>
      <c r="F21" s="74"/>
      <c r="G21" s="85">
        <f t="shared" si="2"/>
        <v>54.299999999999955</v>
      </c>
      <c r="I21" s="16"/>
      <c r="J21" s="9"/>
      <c r="K21" s="9"/>
      <c r="L21" s="74"/>
      <c r="M21" s="74"/>
      <c r="N21" s="74"/>
      <c r="O21" s="85">
        <f t="shared" si="1"/>
        <v>370.13000000000011</v>
      </c>
    </row>
    <row r="22" spans="1:15" ht="12" customHeight="1" x14ac:dyDescent="0.2">
      <c r="A22" s="16"/>
      <c r="B22" s="9"/>
      <c r="C22" s="9"/>
      <c r="D22" s="74"/>
      <c r="E22" s="74"/>
      <c r="F22" s="74"/>
      <c r="G22" s="85">
        <f t="shared" si="2"/>
        <v>54.299999999999955</v>
      </c>
      <c r="I22" s="16"/>
      <c r="J22" s="9"/>
      <c r="K22" s="9"/>
      <c r="L22" s="74"/>
      <c r="M22" s="74"/>
      <c r="N22" s="74"/>
      <c r="O22" s="85">
        <f t="shared" si="1"/>
        <v>370.13000000000011</v>
      </c>
    </row>
    <row r="23" spans="1:15" ht="12" customHeight="1" thickBot="1" x14ac:dyDescent="0.25">
      <c r="A23" s="36"/>
      <c r="B23" s="37"/>
      <c r="C23" s="37"/>
      <c r="D23" s="82"/>
      <c r="E23" s="82"/>
      <c r="F23" s="82"/>
      <c r="G23" s="83">
        <f>SUM(G22+D23-E23-F23)</f>
        <v>54.299999999999955</v>
      </c>
      <c r="I23" s="36"/>
      <c r="J23" s="37"/>
      <c r="K23" s="37"/>
      <c r="L23" s="82"/>
      <c r="M23" s="82"/>
      <c r="N23" s="82"/>
      <c r="O23" s="83">
        <f>SUM(O22+L23-M23-N23)</f>
        <v>370.13000000000011</v>
      </c>
    </row>
    <row r="24" spans="1:15" ht="12" customHeight="1" thickTop="1" x14ac:dyDescent="0.2">
      <c r="A24" s="40"/>
      <c r="B24" s="41"/>
      <c r="C24" s="41"/>
      <c r="D24" s="77"/>
      <c r="E24" s="77"/>
      <c r="F24" s="77"/>
      <c r="G24" s="78"/>
      <c r="I24" s="40"/>
      <c r="J24" s="41"/>
      <c r="K24" s="41"/>
      <c r="L24" s="77"/>
      <c r="M24" s="77"/>
      <c r="N24" s="77"/>
      <c r="O24" s="78"/>
    </row>
    <row r="25" spans="1:15" ht="12" customHeight="1" thickBot="1" x14ac:dyDescent="0.25">
      <c r="A25" s="42" t="s">
        <v>3</v>
      </c>
      <c r="B25" s="43"/>
      <c r="C25" s="43"/>
      <c r="D25" s="76"/>
      <c r="E25" s="84"/>
      <c r="F25" s="84"/>
      <c r="G25" s="211">
        <f>G23</f>
        <v>54.299999999999955</v>
      </c>
      <c r="I25" s="42" t="s">
        <v>3</v>
      </c>
      <c r="J25" s="43"/>
      <c r="K25" s="43"/>
      <c r="L25" s="76"/>
      <c r="M25" s="84"/>
      <c r="N25" s="84"/>
      <c r="O25" s="211">
        <f>O23</f>
        <v>370.13000000000011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33"/>
  <sheetViews>
    <sheetView workbookViewId="0">
      <selection activeCell="H1" sqref="H1"/>
    </sheetView>
  </sheetViews>
  <sheetFormatPr defaultRowHeight="12" customHeight="1" x14ac:dyDescent="0.2"/>
  <cols>
    <col min="1" max="1" width="10.140625" bestFit="1" customWidth="1"/>
    <col min="2" max="2" width="15.85546875" customWidth="1"/>
    <col min="3" max="3" width="32.5703125" customWidth="1"/>
    <col min="4" max="4" width="11.85546875" customWidth="1"/>
    <col min="5" max="5" width="8.140625" customWidth="1"/>
    <col min="6" max="6" width="12.140625" customWidth="1"/>
    <col min="7" max="7" width="11.5703125" customWidth="1"/>
    <col min="9" max="9" width="10.140625" bestFit="1" customWidth="1"/>
    <col min="10" max="10" width="15.85546875" customWidth="1"/>
    <col min="11" max="11" width="32.5703125" customWidth="1"/>
    <col min="12" max="12" width="11.85546875" customWidth="1"/>
    <col min="13" max="13" width="8.140625" customWidth="1"/>
    <col min="14" max="14" width="12.140625" customWidth="1"/>
    <col min="15" max="15" width="11.5703125" customWidth="1"/>
  </cols>
  <sheetData>
    <row r="1" spans="1:15" ht="12" customHeight="1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ht="12" customHeight="1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ht="12" customHeight="1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customHeight="1" x14ac:dyDescent="0.2">
      <c r="A4" s="362" t="s">
        <v>73</v>
      </c>
      <c r="B4" s="363"/>
      <c r="C4" s="363"/>
      <c r="D4" s="363"/>
      <c r="E4" s="363"/>
      <c r="F4" s="363"/>
      <c r="G4" s="364"/>
      <c r="I4" s="362" t="s">
        <v>73</v>
      </c>
      <c r="J4" s="363"/>
      <c r="K4" s="363"/>
      <c r="L4" s="363"/>
      <c r="M4" s="363"/>
      <c r="N4" s="363"/>
      <c r="O4" s="364"/>
    </row>
    <row r="5" spans="1:15" ht="15" customHeight="1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74"/>
      <c r="K5" s="374"/>
      <c r="L5" s="374"/>
      <c r="M5" s="374"/>
      <c r="N5" s="374"/>
      <c r="O5" s="375"/>
    </row>
    <row r="6" spans="1:15" ht="12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226" t="s">
        <v>2</v>
      </c>
      <c r="E7" s="251" t="s">
        <v>7</v>
      </c>
      <c r="F7" s="226" t="s">
        <v>5</v>
      </c>
      <c r="G7" s="227" t="s">
        <v>6</v>
      </c>
      <c r="I7" s="146" t="s">
        <v>1</v>
      </c>
      <c r="J7" s="214" t="s">
        <v>12</v>
      </c>
      <c r="K7" s="147" t="s">
        <v>0</v>
      </c>
      <c r="L7" s="226" t="s">
        <v>2</v>
      </c>
      <c r="M7" s="251" t="s">
        <v>7</v>
      </c>
      <c r="N7" s="226" t="s">
        <v>5</v>
      </c>
      <c r="O7" s="227" t="s">
        <v>6</v>
      </c>
    </row>
    <row r="8" spans="1:15" ht="12" customHeight="1" x14ac:dyDescent="0.2">
      <c r="A8" s="247"/>
      <c r="B8" s="238"/>
      <c r="C8" s="238" t="s">
        <v>70</v>
      </c>
      <c r="D8" s="248"/>
      <c r="E8" s="248"/>
      <c r="F8" s="248"/>
      <c r="G8" s="249">
        <v>42.5</v>
      </c>
      <c r="I8" s="14"/>
      <c r="J8" s="9"/>
      <c r="K8" s="9" t="s">
        <v>74</v>
      </c>
      <c r="L8" s="74"/>
      <c r="M8" s="74"/>
      <c r="N8" s="75"/>
      <c r="O8" s="249">
        <f>L8</f>
        <v>0</v>
      </c>
    </row>
    <row r="9" spans="1:15" ht="12" customHeight="1" x14ac:dyDescent="0.2">
      <c r="A9" s="14"/>
      <c r="B9" s="9"/>
      <c r="C9" s="9"/>
      <c r="D9" s="74"/>
      <c r="E9" s="74"/>
      <c r="F9" s="75"/>
      <c r="G9" s="81">
        <f>SUM(G8+D9-E9-F9)</f>
        <v>42.5</v>
      </c>
      <c r="I9" s="14"/>
      <c r="J9" s="9"/>
      <c r="K9" s="9"/>
      <c r="L9" s="74"/>
      <c r="M9" s="74"/>
      <c r="N9" s="75"/>
      <c r="O9" s="81">
        <f>SUM(O8+L9-M9-N9)</f>
        <v>0</v>
      </c>
    </row>
    <row r="10" spans="1:15" ht="12" customHeight="1" x14ac:dyDescent="0.2">
      <c r="A10" s="14"/>
      <c r="B10" s="9"/>
      <c r="C10" s="9"/>
      <c r="D10" s="74"/>
      <c r="E10" s="74"/>
      <c r="F10" s="75"/>
      <c r="G10" s="81">
        <f>SUM(G9+D10-E10-F10)</f>
        <v>42.5</v>
      </c>
      <c r="I10" s="14"/>
      <c r="J10" s="9"/>
      <c r="K10" s="63"/>
      <c r="L10" s="74"/>
      <c r="M10" s="74"/>
      <c r="N10" s="75"/>
      <c r="O10" s="81">
        <f>SUM(O9+L10-M10-N10)</f>
        <v>0</v>
      </c>
    </row>
    <row r="11" spans="1:15" ht="12" customHeight="1" x14ac:dyDescent="0.2">
      <c r="A11" s="14"/>
      <c r="B11" s="9"/>
      <c r="C11" s="9"/>
      <c r="D11" s="74"/>
      <c r="E11" s="74"/>
      <c r="F11" s="75"/>
      <c r="G11" s="81">
        <f t="shared" ref="G11:G30" si="0">SUM(G10+D11-E11-F11)</f>
        <v>42.5</v>
      </c>
      <c r="I11" s="14"/>
      <c r="J11" s="9"/>
      <c r="K11" s="9"/>
      <c r="L11" s="74"/>
      <c r="M11" s="74"/>
      <c r="N11" s="75"/>
      <c r="O11" s="81">
        <f t="shared" ref="O11:O30" si="1">SUM(O10+L11-M11-N11)</f>
        <v>0</v>
      </c>
    </row>
    <row r="12" spans="1:15" ht="12" customHeight="1" x14ac:dyDescent="0.2">
      <c r="A12" s="14"/>
      <c r="B12" s="9"/>
      <c r="C12" s="9"/>
      <c r="D12" s="74"/>
      <c r="E12" s="74"/>
      <c r="F12" s="75"/>
      <c r="G12" s="81">
        <f t="shared" si="0"/>
        <v>42.5</v>
      </c>
      <c r="I12" s="14"/>
      <c r="J12" s="9"/>
      <c r="K12" s="9"/>
      <c r="L12" s="74"/>
      <c r="M12" s="74"/>
      <c r="N12" s="75"/>
      <c r="O12" s="81">
        <f t="shared" si="1"/>
        <v>0</v>
      </c>
    </row>
    <row r="13" spans="1:15" ht="12" customHeight="1" x14ac:dyDescent="0.2">
      <c r="A13" s="14"/>
      <c r="B13" s="9"/>
      <c r="C13" s="9"/>
      <c r="D13" s="74"/>
      <c r="E13" s="74"/>
      <c r="F13" s="75"/>
      <c r="G13" s="81">
        <f t="shared" si="0"/>
        <v>42.5</v>
      </c>
      <c r="I13" s="14"/>
      <c r="J13" s="9"/>
      <c r="K13" s="9"/>
      <c r="L13" s="74"/>
      <c r="M13" s="74"/>
      <c r="N13" s="75"/>
      <c r="O13" s="81">
        <f t="shared" si="1"/>
        <v>0</v>
      </c>
    </row>
    <row r="14" spans="1:15" ht="12" customHeight="1" x14ac:dyDescent="0.2">
      <c r="A14" s="14"/>
      <c r="B14" s="9"/>
      <c r="C14" s="9"/>
      <c r="D14" s="74"/>
      <c r="E14" s="74"/>
      <c r="F14" s="75"/>
      <c r="G14" s="81">
        <f t="shared" si="0"/>
        <v>42.5</v>
      </c>
      <c r="I14" s="14"/>
      <c r="J14" s="9"/>
      <c r="K14" s="9"/>
      <c r="L14" s="74"/>
      <c r="M14" s="74"/>
      <c r="N14" s="75"/>
      <c r="O14" s="81">
        <f t="shared" si="1"/>
        <v>0</v>
      </c>
    </row>
    <row r="15" spans="1:15" ht="12" customHeight="1" x14ac:dyDescent="0.2">
      <c r="A15" s="14"/>
      <c r="B15" s="9"/>
      <c r="C15" s="63"/>
      <c r="D15" s="74"/>
      <c r="E15" s="74"/>
      <c r="F15" s="75"/>
      <c r="G15" s="81">
        <f t="shared" si="0"/>
        <v>42.5</v>
      </c>
      <c r="I15" s="14"/>
      <c r="J15" s="9"/>
      <c r="K15" s="63"/>
      <c r="L15" s="74"/>
      <c r="M15" s="74"/>
      <c r="N15" s="75"/>
      <c r="O15" s="81">
        <f t="shared" si="1"/>
        <v>0</v>
      </c>
    </row>
    <row r="16" spans="1:15" ht="12" customHeight="1" x14ac:dyDescent="0.2">
      <c r="A16" s="14"/>
      <c r="B16" s="9"/>
      <c r="C16" s="9"/>
      <c r="D16" s="74"/>
      <c r="E16" s="74"/>
      <c r="F16" s="75"/>
      <c r="G16" s="81">
        <f t="shared" si="0"/>
        <v>42.5</v>
      </c>
      <c r="I16" s="14"/>
      <c r="J16" s="9"/>
      <c r="K16" s="9"/>
      <c r="L16" s="74"/>
      <c r="M16" s="74"/>
      <c r="N16" s="75"/>
      <c r="O16" s="81">
        <f t="shared" si="1"/>
        <v>0</v>
      </c>
    </row>
    <row r="17" spans="1:15" ht="12" customHeight="1" x14ac:dyDescent="0.2">
      <c r="A17" s="14"/>
      <c r="B17" s="9"/>
      <c r="C17" s="9"/>
      <c r="D17" s="74"/>
      <c r="E17" s="74"/>
      <c r="F17" s="75"/>
      <c r="G17" s="81">
        <f t="shared" si="0"/>
        <v>42.5</v>
      </c>
      <c r="I17" s="14"/>
      <c r="J17" s="9"/>
      <c r="K17" s="9"/>
      <c r="L17" s="74"/>
      <c r="M17" s="74"/>
      <c r="N17" s="75"/>
      <c r="O17" s="81">
        <f t="shared" si="1"/>
        <v>0</v>
      </c>
    </row>
    <row r="18" spans="1:15" ht="12" customHeight="1" x14ac:dyDescent="0.2">
      <c r="A18" s="14"/>
      <c r="B18" s="9"/>
      <c r="C18" s="9"/>
      <c r="D18" s="74"/>
      <c r="E18" s="74"/>
      <c r="F18" s="75"/>
      <c r="G18" s="81">
        <f t="shared" si="0"/>
        <v>42.5</v>
      </c>
      <c r="I18" s="14"/>
      <c r="J18" s="9"/>
      <c r="K18" s="9"/>
      <c r="L18" s="74"/>
      <c r="M18" s="74"/>
      <c r="N18" s="75"/>
      <c r="O18" s="81">
        <f t="shared" si="1"/>
        <v>0</v>
      </c>
    </row>
    <row r="19" spans="1:15" ht="12" customHeight="1" x14ac:dyDescent="0.2">
      <c r="A19" s="16"/>
      <c r="B19" s="9"/>
      <c r="C19" s="9"/>
      <c r="D19" s="74"/>
      <c r="E19" s="74"/>
      <c r="F19" s="75"/>
      <c r="G19" s="81">
        <f t="shared" si="0"/>
        <v>42.5</v>
      </c>
      <c r="I19" s="16"/>
      <c r="J19" s="9"/>
      <c r="K19" s="9"/>
      <c r="L19" s="74"/>
      <c r="M19" s="74"/>
      <c r="N19" s="75"/>
      <c r="O19" s="81">
        <f t="shared" si="1"/>
        <v>0</v>
      </c>
    </row>
    <row r="20" spans="1:15" ht="12" customHeight="1" x14ac:dyDescent="0.2">
      <c r="A20" s="16"/>
      <c r="B20" s="9"/>
      <c r="C20" s="9"/>
      <c r="D20" s="74"/>
      <c r="E20" s="74"/>
      <c r="F20" s="75"/>
      <c r="G20" s="81">
        <f t="shared" si="0"/>
        <v>42.5</v>
      </c>
      <c r="I20" s="16"/>
      <c r="J20" s="9"/>
      <c r="K20" s="9"/>
      <c r="L20" s="74"/>
      <c r="M20" s="74"/>
      <c r="N20" s="75"/>
      <c r="O20" s="81">
        <f t="shared" si="1"/>
        <v>0</v>
      </c>
    </row>
    <row r="21" spans="1:15" ht="12" customHeight="1" x14ac:dyDescent="0.2">
      <c r="A21" s="16"/>
      <c r="B21" s="9"/>
      <c r="C21" s="9"/>
      <c r="D21" s="74"/>
      <c r="E21" s="74"/>
      <c r="F21" s="74"/>
      <c r="G21" s="81">
        <f t="shared" si="0"/>
        <v>42.5</v>
      </c>
      <c r="I21" s="16"/>
      <c r="J21" s="9"/>
      <c r="K21" s="9"/>
      <c r="L21" s="74"/>
      <c r="M21" s="74"/>
      <c r="N21" s="74"/>
      <c r="O21" s="81">
        <f t="shared" si="1"/>
        <v>0</v>
      </c>
    </row>
    <row r="22" spans="1:15" ht="12" customHeight="1" x14ac:dyDescent="0.2">
      <c r="A22" s="16"/>
      <c r="B22" s="9"/>
      <c r="C22" s="9"/>
      <c r="D22" s="74"/>
      <c r="E22" s="74"/>
      <c r="F22" s="74"/>
      <c r="G22" s="81">
        <f t="shared" si="0"/>
        <v>42.5</v>
      </c>
      <c r="I22" s="16"/>
      <c r="J22" s="9"/>
      <c r="K22" s="9"/>
      <c r="L22" s="74"/>
      <c r="M22" s="74"/>
      <c r="N22" s="74"/>
      <c r="O22" s="81">
        <f t="shared" si="1"/>
        <v>0</v>
      </c>
    </row>
    <row r="23" spans="1:15" ht="12" customHeight="1" x14ac:dyDescent="0.2">
      <c r="A23" s="16"/>
      <c r="B23" s="9"/>
      <c r="C23" s="9"/>
      <c r="D23" s="74"/>
      <c r="E23" s="74"/>
      <c r="F23" s="74"/>
      <c r="G23" s="85">
        <f t="shared" si="0"/>
        <v>42.5</v>
      </c>
      <c r="I23" s="16"/>
      <c r="J23" s="9"/>
      <c r="K23" s="9"/>
      <c r="L23" s="74"/>
      <c r="M23" s="74"/>
      <c r="N23" s="74"/>
      <c r="O23" s="85">
        <f t="shared" si="1"/>
        <v>0</v>
      </c>
    </row>
    <row r="24" spans="1:15" ht="12" customHeight="1" x14ac:dyDescent="0.2">
      <c r="A24" s="16"/>
      <c r="B24" s="9"/>
      <c r="C24" s="9"/>
      <c r="D24" s="74"/>
      <c r="E24" s="74"/>
      <c r="F24" s="74"/>
      <c r="G24" s="85">
        <f t="shared" si="0"/>
        <v>42.5</v>
      </c>
      <c r="I24" s="16"/>
      <c r="J24" s="9"/>
      <c r="K24" s="9"/>
      <c r="L24" s="74"/>
      <c r="M24" s="74"/>
      <c r="N24" s="74"/>
      <c r="O24" s="85">
        <f t="shared" si="1"/>
        <v>0</v>
      </c>
    </row>
    <row r="25" spans="1:15" ht="12" customHeight="1" x14ac:dyDescent="0.2">
      <c r="A25" s="16"/>
      <c r="B25" s="9"/>
      <c r="C25" s="9"/>
      <c r="D25" s="74"/>
      <c r="E25" s="74"/>
      <c r="F25" s="74"/>
      <c r="G25" s="85">
        <f t="shared" si="0"/>
        <v>42.5</v>
      </c>
      <c r="I25" s="16"/>
      <c r="J25" s="9"/>
      <c r="K25" s="9"/>
      <c r="L25" s="74"/>
      <c r="M25" s="74"/>
      <c r="N25" s="74"/>
      <c r="O25" s="85">
        <f t="shared" si="1"/>
        <v>0</v>
      </c>
    </row>
    <row r="26" spans="1:15" ht="12" customHeight="1" x14ac:dyDescent="0.2">
      <c r="A26" s="16"/>
      <c r="B26" s="9"/>
      <c r="C26" s="9"/>
      <c r="D26" s="74"/>
      <c r="E26" s="74"/>
      <c r="F26" s="74"/>
      <c r="G26" s="85">
        <f t="shared" si="0"/>
        <v>42.5</v>
      </c>
      <c r="I26" s="16"/>
      <c r="J26" s="9"/>
      <c r="K26" s="9"/>
      <c r="L26" s="74"/>
      <c r="M26" s="74"/>
      <c r="N26" s="74"/>
      <c r="O26" s="85">
        <f t="shared" si="1"/>
        <v>0</v>
      </c>
    </row>
    <row r="27" spans="1:15" ht="12" customHeight="1" x14ac:dyDescent="0.2">
      <c r="A27" s="16"/>
      <c r="B27" s="9"/>
      <c r="C27" s="9"/>
      <c r="D27" s="74"/>
      <c r="E27" s="74"/>
      <c r="F27" s="74"/>
      <c r="G27" s="85">
        <f t="shared" si="0"/>
        <v>42.5</v>
      </c>
      <c r="I27" s="16"/>
      <c r="J27" s="9"/>
      <c r="K27" s="9"/>
      <c r="L27" s="74"/>
      <c r="M27" s="74"/>
      <c r="N27" s="74"/>
      <c r="O27" s="85">
        <f t="shared" si="1"/>
        <v>0</v>
      </c>
    </row>
    <row r="28" spans="1:15" ht="12" customHeight="1" x14ac:dyDescent="0.2">
      <c r="A28" s="16"/>
      <c r="B28" s="9"/>
      <c r="C28" s="9"/>
      <c r="D28" s="74"/>
      <c r="E28" s="74"/>
      <c r="F28" s="74"/>
      <c r="G28" s="85">
        <f t="shared" si="0"/>
        <v>42.5</v>
      </c>
      <c r="I28" s="16"/>
      <c r="J28" s="9"/>
      <c r="K28" s="9"/>
      <c r="L28" s="74"/>
      <c r="M28" s="74"/>
      <c r="N28" s="74"/>
      <c r="O28" s="85">
        <f t="shared" si="1"/>
        <v>0</v>
      </c>
    </row>
    <row r="29" spans="1:15" ht="12" customHeight="1" x14ac:dyDescent="0.2">
      <c r="A29" s="16"/>
      <c r="B29" s="9"/>
      <c r="C29" s="9"/>
      <c r="D29" s="74"/>
      <c r="E29" s="74"/>
      <c r="F29" s="74"/>
      <c r="G29" s="85">
        <f t="shared" si="0"/>
        <v>42.5</v>
      </c>
      <c r="I29" s="16"/>
      <c r="J29" s="9"/>
      <c r="K29" s="9"/>
      <c r="L29" s="74"/>
      <c r="M29" s="74"/>
      <c r="N29" s="74"/>
      <c r="O29" s="85">
        <f t="shared" si="1"/>
        <v>0</v>
      </c>
    </row>
    <row r="30" spans="1:15" ht="12" customHeight="1" x14ac:dyDescent="0.2">
      <c r="A30" s="16"/>
      <c r="B30" s="9"/>
      <c r="C30" s="9"/>
      <c r="D30" s="74"/>
      <c r="E30" s="74"/>
      <c r="F30" s="74"/>
      <c r="G30" s="85">
        <f t="shared" si="0"/>
        <v>42.5</v>
      </c>
      <c r="I30" s="16"/>
      <c r="J30" s="9"/>
      <c r="K30" s="9"/>
      <c r="L30" s="74"/>
      <c r="M30" s="74"/>
      <c r="N30" s="74"/>
      <c r="O30" s="85">
        <f t="shared" si="1"/>
        <v>0</v>
      </c>
    </row>
    <row r="31" spans="1:15" ht="12" customHeight="1" thickBot="1" x14ac:dyDescent="0.25">
      <c r="A31" s="36"/>
      <c r="B31" s="37"/>
      <c r="C31" s="37"/>
      <c r="D31" s="82"/>
      <c r="E31" s="82"/>
      <c r="F31" s="82"/>
      <c r="G31" s="83">
        <f>SUM(G30+D31-E31-F31)</f>
        <v>42.5</v>
      </c>
      <c r="I31" s="36"/>
      <c r="J31" s="37"/>
      <c r="K31" s="37"/>
      <c r="L31" s="82"/>
      <c r="M31" s="82"/>
      <c r="N31" s="82"/>
      <c r="O31" s="83">
        <f>SUM(O30+L31-M31-N31)</f>
        <v>0</v>
      </c>
    </row>
    <row r="32" spans="1:15" ht="12" customHeight="1" thickTop="1" x14ac:dyDescent="0.2">
      <c r="A32" s="40"/>
      <c r="B32" s="41"/>
      <c r="C32" s="41"/>
      <c r="D32" s="77"/>
      <c r="E32" s="77"/>
      <c r="F32" s="77"/>
      <c r="G32" s="78"/>
      <c r="I32" s="40"/>
      <c r="J32" s="41"/>
      <c r="K32" s="41"/>
      <c r="L32" s="77"/>
      <c r="M32" s="77"/>
      <c r="N32" s="77"/>
      <c r="O32" s="78"/>
    </row>
    <row r="33" spans="1:15" ht="12" customHeight="1" thickBot="1" x14ac:dyDescent="0.25">
      <c r="A33" s="42" t="s">
        <v>3</v>
      </c>
      <c r="B33" s="43"/>
      <c r="C33" s="43"/>
      <c r="D33" s="76"/>
      <c r="E33" s="84"/>
      <c r="F33" s="84"/>
      <c r="G33" s="211">
        <f>G31</f>
        <v>42.5</v>
      </c>
      <c r="I33" s="42" t="s">
        <v>3</v>
      </c>
      <c r="J33" s="43"/>
      <c r="K33" s="43"/>
      <c r="L33" s="76"/>
      <c r="M33" s="84"/>
      <c r="N33" s="84"/>
      <c r="O33" s="211">
        <f>O31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8"/>
  <sheetViews>
    <sheetView zoomScaleNormal="100" workbookViewId="0">
      <selection activeCell="H1" sqref="H1"/>
    </sheetView>
  </sheetViews>
  <sheetFormatPr defaultRowHeight="12.75" x14ac:dyDescent="0.2"/>
  <cols>
    <col min="1" max="1" width="11" style="49" customWidth="1"/>
    <col min="2" max="2" width="11.140625" style="49" customWidth="1"/>
    <col min="3" max="3" width="30.85546875" style="49" customWidth="1"/>
    <col min="4" max="4" width="10.28515625" style="49" bestFit="1" customWidth="1"/>
    <col min="5" max="5" width="7" style="49" customWidth="1"/>
    <col min="6" max="6" width="13" style="49" bestFit="1" customWidth="1"/>
    <col min="7" max="7" width="11" style="49" customWidth="1"/>
    <col min="8" max="8" width="9.140625" style="49"/>
    <col min="9" max="9" width="11" style="49" customWidth="1"/>
    <col min="10" max="10" width="11.140625" style="49" customWidth="1"/>
    <col min="11" max="11" width="30.85546875" style="49" customWidth="1"/>
    <col min="12" max="12" width="10.28515625" style="49" bestFit="1" customWidth="1"/>
    <col min="13" max="13" width="7" style="49" customWidth="1"/>
    <col min="14" max="14" width="13" style="49" bestFit="1" customWidth="1"/>
    <col min="15" max="15" width="11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79</v>
      </c>
      <c r="B4" s="363"/>
      <c r="C4" s="363"/>
      <c r="D4" s="363"/>
      <c r="E4" s="363"/>
      <c r="F4" s="363"/>
      <c r="G4" s="364"/>
      <c r="I4" s="362" t="s">
        <v>79</v>
      </c>
      <c r="J4" s="363"/>
      <c r="K4" s="363"/>
      <c r="L4" s="363"/>
      <c r="M4" s="363"/>
      <c r="N4" s="363"/>
      <c r="O4" s="364"/>
    </row>
    <row r="5" spans="1:15" ht="15" x14ac:dyDescent="0.2">
      <c r="A5" s="366" t="s">
        <v>68</v>
      </c>
      <c r="B5" s="385"/>
      <c r="C5" s="385"/>
      <c r="D5" s="385"/>
      <c r="E5" s="385"/>
      <c r="F5" s="385"/>
      <c r="G5" s="375"/>
      <c r="I5" s="382" t="s">
        <v>68</v>
      </c>
      <c r="J5" s="383"/>
      <c r="K5" s="383"/>
      <c r="L5" s="383"/>
      <c r="M5" s="383"/>
      <c r="N5" s="383"/>
      <c r="O5" s="384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50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50" t="s">
        <v>8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83</v>
      </c>
      <c r="D8" s="248"/>
      <c r="E8" s="248"/>
      <c r="F8" s="248"/>
      <c r="G8" s="249">
        <v>1414.95</v>
      </c>
      <c r="I8" s="247"/>
      <c r="J8" s="238"/>
      <c r="K8" s="238" t="s">
        <v>74</v>
      </c>
      <c r="L8" s="248"/>
      <c r="M8" s="248"/>
      <c r="N8" s="248"/>
      <c r="O8" s="249">
        <v>79.95</v>
      </c>
    </row>
    <row r="9" spans="1:15" x14ac:dyDescent="0.2">
      <c r="A9" s="68"/>
      <c r="B9" s="63"/>
      <c r="C9" s="63"/>
      <c r="D9" s="74"/>
      <c r="E9" s="74"/>
      <c r="F9" s="75"/>
      <c r="G9" s="81">
        <f t="shared" ref="G9:G26" si="0">SUM(G8+D9-E9-F9)</f>
        <v>1414.95</v>
      </c>
      <c r="I9" s="68"/>
      <c r="J9" s="63"/>
      <c r="K9" s="63"/>
      <c r="L9" s="74"/>
      <c r="M9" s="74"/>
      <c r="N9" s="75"/>
      <c r="O9" s="81">
        <f t="shared" ref="O9:O26" si="1">SUM(O8+L9-M9-N9)</f>
        <v>79.95</v>
      </c>
    </row>
    <row r="10" spans="1:15" x14ac:dyDescent="0.2">
      <c r="A10" s="14"/>
      <c r="B10" s="63"/>
      <c r="C10" s="63"/>
      <c r="D10" s="74"/>
      <c r="E10" s="74"/>
      <c r="F10" s="75"/>
      <c r="G10" s="81">
        <f t="shared" si="0"/>
        <v>1414.95</v>
      </c>
      <c r="I10" s="14"/>
      <c r="J10" s="63"/>
      <c r="K10" s="63"/>
      <c r="L10" s="74"/>
      <c r="M10" s="74"/>
      <c r="N10" s="75"/>
      <c r="O10" s="81">
        <f t="shared" si="1"/>
        <v>79.95</v>
      </c>
    </row>
    <row r="11" spans="1:15" x14ac:dyDescent="0.2">
      <c r="A11" s="14"/>
      <c r="B11" s="63"/>
      <c r="C11" s="63"/>
      <c r="D11" s="74"/>
      <c r="E11" s="74"/>
      <c r="F11" s="75"/>
      <c r="G11" s="81">
        <f t="shared" si="0"/>
        <v>1414.95</v>
      </c>
      <c r="I11" s="14"/>
      <c r="J11" s="63"/>
      <c r="K11" s="63"/>
      <c r="L11" s="74"/>
      <c r="M11" s="74"/>
      <c r="N11" s="75"/>
      <c r="O11" s="81">
        <f t="shared" si="1"/>
        <v>79.95</v>
      </c>
    </row>
    <row r="12" spans="1:15" x14ac:dyDescent="0.2">
      <c r="A12" s="14"/>
      <c r="B12" s="63"/>
      <c r="C12" s="63"/>
      <c r="D12" s="74"/>
      <c r="E12" s="74"/>
      <c r="F12" s="75"/>
      <c r="G12" s="81">
        <f t="shared" si="0"/>
        <v>1414.95</v>
      </c>
      <c r="I12" s="14"/>
      <c r="J12" s="63"/>
      <c r="K12" s="63"/>
      <c r="L12" s="74"/>
      <c r="M12" s="74"/>
      <c r="N12" s="75"/>
      <c r="O12" s="81">
        <f t="shared" si="1"/>
        <v>79.95</v>
      </c>
    </row>
    <row r="13" spans="1:15" x14ac:dyDescent="0.2">
      <c r="A13" s="14"/>
      <c r="B13" s="63"/>
      <c r="C13" s="63"/>
      <c r="D13" s="74"/>
      <c r="E13" s="74"/>
      <c r="F13" s="75"/>
      <c r="G13" s="81">
        <f t="shared" si="0"/>
        <v>1414.95</v>
      </c>
      <c r="I13" s="14"/>
      <c r="J13" s="63"/>
      <c r="K13" s="63"/>
      <c r="L13" s="74"/>
      <c r="M13" s="74"/>
      <c r="N13" s="75"/>
      <c r="O13" s="81">
        <f t="shared" si="1"/>
        <v>79.95</v>
      </c>
    </row>
    <row r="14" spans="1:15" x14ac:dyDescent="0.2">
      <c r="A14" s="14"/>
      <c r="B14" s="63"/>
      <c r="C14" s="63"/>
      <c r="D14" s="74"/>
      <c r="E14" s="74"/>
      <c r="F14" s="75"/>
      <c r="G14" s="81">
        <f t="shared" si="0"/>
        <v>1414.95</v>
      </c>
      <c r="I14" s="14"/>
      <c r="J14" s="63"/>
      <c r="K14" s="63"/>
      <c r="L14" s="74"/>
      <c r="M14" s="74"/>
      <c r="N14" s="75"/>
      <c r="O14" s="81">
        <f t="shared" si="1"/>
        <v>79.95</v>
      </c>
    </row>
    <row r="15" spans="1:15" x14ac:dyDescent="0.2">
      <c r="A15" s="14"/>
      <c r="B15" s="9"/>
      <c r="C15" s="58"/>
      <c r="D15" s="74"/>
      <c r="E15" s="74"/>
      <c r="F15" s="75"/>
      <c r="G15" s="81">
        <f t="shared" si="0"/>
        <v>1414.95</v>
      </c>
      <c r="I15" s="14"/>
      <c r="J15" s="9"/>
      <c r="K15" s="58"/>
      <c r="L15" s="74"/>
      <c r="M15" s="74"/>
      <c r="N15" s="75"/>
      <c r="O15" s="81">
        <f t="shared" si="1"/>
        <v>79.95</v>
      </c>
    </row>
    <row r="16" spans="1:15" x14ac:dyDescent="0.2">
      <c r="A16" s="14"/>
      <c r="B16" s="9"/>
      <c r="C16" s="58"/>
      <c r="D16" s="74"/>
      <c r="E16" s="74"/>
      <c r="F16" s="74"/>
      <c r="G16" s="81">
        <f t="shared" si="0"/>
        <v>1414.95</v>
      </c>
      <c r="I16" s="14"/>
      <c r="J16" s="9"/>
      <c r="K16" s="58"/>
      <c r="L16" s="74"/>
      <c r="M16" s="74"/>
      <c r="N16" s="74"/>
      <c r="O16" s="81">
        <f t="shared" si="1"/>
        <v>79.95</v>
      </c>
    </row>
    <row r="17" spans="1:15" x14ac:dyDescent="0.2">
      <c r="A17" s="14"/>
      <c r="B17" s="9"/>
      <c r="C17" s="58"/>
      <c r="D17" s="74"/>
      <c r="E17" s="74"/>
      <c r="F17" s="74"/>
      <c r="G17" s="81">
        <f t="shared" si="0"/>
        <v>1414.95</v>
      </c>
      <c r="I17" s="14"/>
      <c r="J17" s="9"/>
      <c r="K17" s="58"/>
      <c r="L17" s="74"/>
      <c r="M17" s="74"/>
      <c r="N17" s="74"/>
      <c r="O17" s="81">
        <f t="shared" si="1"/>
        <v>79.95</v>
      </c>
    </row>
    <row r="18" spans="1:15" x14ac:dyDescent="0.2">
      <c r="A18" s="14"/>
      <c r="B18" s="9"/>
      <c r="C18" s="58"/>
      <c r="D18" s="74"/>
      <c r="E18" s="74"/>
      <c r="F18" s="74"/>
      <c r="G18" s="81">
        <f t="shared" si="0"/>
        <v>1414.95</v>
      </c>
      <c r="I18" s="14"/>
      <c r="J18" s="9"/>
      <c r="K18" s="58"/>
      <c r="L18" s="74"/>
      <c r="M18" s="74"/>
      <c r="N18" s="74"/>
      <c r="O18" s="81">
        <f t="shared" si="1"/>
        <v>79.95</v>
      </c>
    </row>
    <row r="19" spans="1:15" x14ac:dyDescent="0.2">
      <c r="A19" s="14"/>
      <c r="B19" s="9"/>
      <c r="C19" s="58"/>
      <c r="D19" s="74"/>
      <c r="E19" s="74"/>
      <c r="F19" s="74"/>
      <c r="G19" s="81">
        <f t="shared" si="0"/>
        <v>1414.95</v>
      </c>
      <c r="I19" s="14"/>
      <c r="J19" s="9"/>
      <c r="K19" s="58"/>
      <c r="L19" s="74"/>
      <c r="M19" s="74"/>
      <c r="N19" s="74"/>
      <c r="O19" s="81">
        <f t="shared" si="1"/>
        <v>79.95</v>
      </c>
    </row>
    <row r="20" spans="1:15" x14ac:dyDescent="0.2">
      <c r="A20" s="14"/>
      <c r="B20" s="9"/>
      <c r="C20" s="58"/>
      <c r="D20" s="74"/>
      <c r="E20" s="74"/>
      <c r="F20" s="74"/>
      <c r="G20" s="81">
        <f t="shared" si="0"/>
        <v>1414.95</v>
      </c>
      <c r="I20" s="14"/>
      <c r="J20" s="9"/>
      <c r="K20" s="58"/>
      <c r="L20" s="74"/>
      <c r="M20" s="74"/>
      <c r="N20" s="74"/>
      <c r="O20" s="81">
        <f t="shared" si="1"/>
        <v>79.95</v>
      </c>
    </row>
    <row r="21" spans="1:15" x14ac:dyDescent="0.2">
      <c r="A21" s="14"/>
      <c r="B21" s="9"/>
      <c r="C21" s="58"/>
      <c r="D21" s="74"/>
      <c r="E21" s="74"/>
      <c r="F21" s="74"/>
      <c r="G21" s="81">
        <f t="shared" si="0"/>
        <v>1414.95</v>
      </c>
      <c r="I21" s="14"/>
      <c r="J21" s="9"/>
      <c r="K21" s="58"/>
      <c r="L21" s="74"/>
      <c r="M21" s="74"/>
      <c r="N21" s="74"/>
      <c r="O21" s="81">
        <f t="shared" si="1"/>
        <v>79.95</v>
      </c>
    </row>
    <row r="22" spans="1:15" x14ac:dyDescent="0.2">
      <c r="A22" s="14"/>
      <c r="B22" s="9"/>
      <c r="C22" s="9"/>
      <c r="D22" s="74"/>
      <c r="E22" s="74"/>
      <c r="F22" s="74"/>
      <c r="G22" s="81">
        <f t="shared" si="0"/>
        <v>1414.95</v>
      </c>
      <c r="I22" s="14"/>
      <c r="J22" s="9"/>
      <c r="K22" s="9"/>
      <c r="L22" s="74"/>
      <c r="M22" s="74"/>
      <c r="N22" s="74"/>
      <c r="O22" s="81">
        <f t="shared" si="1"/>
        <v>79.95</v>
      </c>
    </row>
    <row r="23" spans="1:15" x14ac:dyDescent="0.2">
      <c r="A23" s="93"/>
      <c r="B23" s="86"/>
      <c r="C23" s="86"/>
      <c r="D23" s="94"/>
      <c r="E23" s="94"/>
      <c r="F23" s="94"/>
      <c r="G23" s="81">
        <f t="shared" si="0"/>
        <v>1414.95</v>
      </c>
      <c r="I23" s="93"/>
      <c r="J23" s="86"/>
      <c r="K23" s="86"/>
      <c r="L23" s="94"/>
      <c r="M23" s="94"/>
      <c r="N23" s="94"/>
      <c r="O23" s="81">
        <f t="shared" si="1"/>
        <v>79.95</v>
      </c>
    </row>
    <row r="24" spans="1:15" x14ac:dyDescent="0.2">
      <c r="A24" s="93"/>
      <c r="B24" s="46"/>
      <c r="C24" s="46"/>
      <c r="D24" s="94"/>
      <c r="E24" s="94"/>
      <c r="F24" s="94"/>
      <c r="G24" s="81">
        <f t="shared" si="0"/>
        <v>1414.95</v>
      </c>
      <c r="I24" s="93"/>
      <c r="J24" s="46"/>
      <c r="K24" s="46"/>
      <c r="L24" s="94"/>
      <c r="M24" s="94"/>
      <c r="N24" s="94"/>
      <c r="O24" s="81">
        <f t="shared" si="1"/>
        <v>79.95</v>
      </c>
    </row>
    <row r="25" spans="1:15" x14ac:dyDescent="0.2">
      <c r="A25" s="93"/>
      <c r="B25" s="46"/>
      <c r="C25" s="46"/>
      <c r="D25" s="94"/>
      <c r="E25" s="94"/>
      <c r="F25" s="94"/>
      <c r="G25" s="81">
        <f t="shared" si="0"/>
        <v>1414.95</v>
      </c>
      <c r="I25" s="93"/>
      <c r="J25" s="46"/>
      <c r="K25" s="46"/>
      <c r="L25" s="94"/>
      <c r="M25" s="94"/>
      <c r="N25" s="94"/>
      <c r="O25" s="81">
        <f t="shared" si="1"/>
        <v>79.95</v>
      </c>
    </row>
    <row r="26" spans="1:15" ht="13.5" thickBot="1" x14ac:dyDescent="0.25">
      <c r="A26" s="95"/>
      <c r="B26" s="37"/>
      <c r="C26" s="37"/>
      <c r="D26" s="82"/>
      <c r="E26" s="82"/>
      <c r="F26" s="82"/>
      <c r="G26" s="81">
        <f t="shared" si="0"/>
        <v>1414.95</v>
      </c>
      <c r="I26" s="95"/>
      <c r="J26" s="37"/>
      <c r="K26" s="37"/>
      <c r="L26" s="82"/>
      <c r="M26" s="82"/>
      <c r="N26" s="82"/>
      <c r="O26" s="81">
        <f t="shared" si="1"/>
        <v>79.95</v>
      </c>
    </row>
    <row r="27" spans="1:15" ht="13.5" thickTop="1" x14ac:dyDescent="0.2">
      <c r="A27" s="40"/>
      <c r="B27" s="41"/>
      <c r="C27" s="41"/>
      <c r="D27" s="77"/>
      <c r="E27" s="77"/>
      <c r="F27" s="77"/>
      <c r="G27" s="78"/>
      <c r="I27" s="40"/>
      <c r="J27" s="41"/>
      <c r="K27" s="41"/>
      <c r="L27" s="77"/>
      <c r="M27" s="77"/>
      <c r="N27" s="77"/>
      <c r="O27" s="78"/>
    </row>
    <row r="28" spans="1:15" ht="13.5" thickBot="1" x14ac:dyDescent="0.25">
      <c r="A28" s="42" t="s">
        <v>3</v>
      </c>
      <c r="B28" s="43"/>
      <c r="C28" s="43"/>
      <c r="D28" s="13"/>
      <c r="E28" s="84"/>
      <c r="F28" s="84"/>
      <c r="G28" s="211">
        <f>G26</f>
        <v>1414.95</v>
      </c>
      <c r="I28" s="42" t="s">
        <v>3</v>
      </c>
      <c r="J28" s="43"/>
      <c r="K28" s="43"/>
      <c r="L28" s="13"/>
      <c r="M28" s="84"/>
      <c r="N28" s="84"/>
      <c r="O28" s="211">
        <f>O26</f>
        <v>79.95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600-000000000000}"/>
  </hyperlinks>
  <pageMargins left="0.75" right="0.75" top="1" bottom="1" header="0.5" footer="0.5"/>
  <pageSetup scale="7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/>
  <dimension ref="A1:O38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1" style="49" customWidth="1"/>
    <col min="2" max="2" width="11.140625" style="49" customWidth="1"/>
    <col min="3" max="3" width="30.85546875" style="49" customWidth="1"/>
    <col min="4" max="4" width="10.28515625" style="49" bestFit="1" customWidth="1"/>
    <col min="5" max="5" width="7" style="49" customWidth="1"/>
    <col min="6" max="6" width="13" style="49" bestFit="1" customWidth="1"/>
    <col min="7" max="7" width="11" style="49" customWidth="1"/>
    <col min="8" max="8" width="9.140625" style="49"/>
    <col min="9" max="9" width="11" style="49" customWidth="1"/>
    <col min="10" max="10" width="11.140625" style="49" customWidth="1"/>
    <col min="11" max="11" width="30.85546875" style="49" customWidth="1"/>
    <col min="12" max="12" width="10.28515625" style="49" bestFit="1" customWidth="1"/>
    <col min="13" max="13" width="7" style="49" customWidth="1"/>
    <col min="14" max="14" width="13" style="49" bestFit="1" customWidth="1"/>
    <col min="15" max="15" width="11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76</v>
      </c>
      <c r="B4" s="363"/>
      <c r="C4" s="363"/>
      <c r="D4" s="363"/>
      <c r="E4" s="363"/>
      <c r="F4" s="363"/>
      <c r="G4" s="364"/>
      <c r="I4" s="362" t="s">
        <v>76</v>
      </c>
      <c r="J4" s="363"/>
      <c r="K4" s="363"/>
      <c r="L4" s="363"/>
      <c r="M4" s="363"/>
      <c r="N4" s="363"/>
      <c r="O4" s="364"/>
    </row>
    <row r="5" spans="1:15" ht="15" x14ac:dyDescent="0.2">
      <c r="A5" s="366" t="s">
        <v>68</v>
      </c>
      <c r="B5" s="385"/>
      <c r="C5" s="385"/>
      <c r="D5" s="385"/>
      <c r="E5" s="385"/>
      <c r="F5" s="385"/>
      <c r="G5" s="375"/>
      <c r="I5" s="382" t="s">
        <v>68</v>
      </c>
      <c r="J5" s="383"/>
      <c r="K5" s="383"/>
      <c r="L5" s="383"/>
      <c r="M5" s="383"/>
      <c r="N5" s="383"/>
      <c r="O5" s="384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50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50" t="s">
        <v>8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3269.25</v>
      </c>
      <c r="I8" s="68"/>
      <c r="J8" s="63"/>
      <c r="K8" s="63" t="s">
        <v>74</v>
      </c>
      <c r="L8" s="74">
        <v>0</v>
      </c>
      <c r="M8" s="74"/>
      <c r="N8" s="75"/>
      <c r="O8" s="249">
        <v>2030</v>
      </c>
    </row>
    <row r="9" spans="1:15" x14ac:dyDescent="0.2">
      <c r="A9" s="68">
        <v>42990</v>
      </c>
      <c r="B9" s="63">
        <v>11395023</v>
      </c>
      <c r="C9" s="63" t="s">
        <v>100</v>
      </c>
      <c r="D9" s="74"/>
      <c r="E9" s="74"/>
      <c r="F9" s="75">
        <v>39.25</v>
      </c>
      <c r="G9" s="81">
        <f t="shared" ref="G9:G32" si="0">SUM(G8+D9-E9-F9)</f>
        <v>3230</v>
      </c>
      <c r="I9" s="14">
        <v>43213</v>
      </c>
      <c r="J9" s="9" t="s">
        <v>290</v>
      </c>
      <c r="K9" s="63" t="s">
        <v>291</v>
      </c>
      <c r="L9" s="74"/>
      <c r="M9" s="74"/>
      <c r="N9" s="75">
        <f>587.2-88.08</f>
        <v>499.12000000000006</v>
      </c>
      <c r="O9" s="81">
        <f>O8+L9-M9-N9</f>
        <v>1530.8799999999999</v>
      </c>
    </row>
    <row r="10" spans="1:15" ht="25.5" x14ac:dyDescent="0.2">
      <c r="A10" s="14">
        <v>43028</v>
      </c>
      <c r="B10" s="9">
        <v>11442920</v>
      </c>
      <c r="C10" s="63" t="s">
        <v>111</v>
      </c>
      <c r="D10" s="74"/>
      <c r="E10" s="74"/>
      <c r="F10" s="75">
        <v>2100</v>
      </c>
      <c r="G10" s="81">
        <f t="shared" si="0"/>
        <v>1130</v>
      </c>
      <c r="I10" s="14">
        <v>43215</v>
      </c>
      <c r="J10" s="63"/>
      <c r="K10" s="310" t="s">
        <v>330</v>
      </c>
      <c r="L10" s="74"/>
      <c r="M10" s="74"/>
      <c r="N10" s="75">
        <v>116.02</v>
      </c>
      <c r="O10" s="81">
        <f t="shared" ref="O10:O32" si="1">O9+L10-M10-N10</f>
        <v>1414.86</v>
      </c>
    </row>
    <row r="11" spans="1:15" x14ac:dyDescent="0.2">
      <c r="A11" s="14">
        <v>43017</v>
      </c>
      <c r="B11" s="63" t="s">
        <v>105</v>
      </c>
      <c r="C11" s="63" t="s">
        <v>112</v>
      </c>
      <c r="D11" s="74"/>
      <c r="E11" s="74"/>
      <c r="F11" s="75">
        <v>210.83</v>
      </c>
      <c r="G11" s="81">
        <f t="shared" si="0"/>
        <v>919.17</v>
      </c>
      <c r="I11" s="14"/>
      <c r="J11" s="63"/>
      <c r="K11" s="63"/>
      <c r="L11" s="74"/>
      <c r="M11" s="74"/>
      <c r="N11" s="75"/>
      <c r="O11" s="81">
        <f t="shared" si="1"/>
        <v>1414.86</v>
      </c>
    </row>
    <row r="12" spans="1:15" x14ac:dyDescent="0.2">
      <c r="A12" s="14">
        <v>43027</v>
      </c>
      <c r="B12" s="63" t="s">
        <v>105</v>
      </c>
      <c r="C12" s="63" t="s">
        <v>112</v>
      </c>
      <c r="D12" s="74">
        <v>210.83</v>
      </c>
      <c r="E12" s="74"/>
      <c r="F12" s="75"/>
      <c r="G12" s="81">
        <f t="shared" si="0"/>
        <v>1130</v>
      </c>
      <c r="I12" s="14"/>
      <c r="J12" s="63"/>
      <c r="K12" s="63"/>
      <c r="L12" s="74"/>
      <c r="M12" s="74"/>
      <c r="N12" s="75"/>
      <c r="O12" s="81">
        <f t="shared" si="1"/>
        <v>1414.86</v>
      </c>
    </row>
    <row r="13" spans="1:15" x14ac:dyDescent="0.2">
      <c r="A13" s="14">
        <v>43021</v>
      </c>
      <c r="B13" s="63" t="s">
        <v>103</v>
      </c>
      <c r="C13" s="63" t="s">
        <v>113</v>
      </c>
      <c r="D13" s="74"/>
      <c r="E13" s="74"/>
      <c r="F13" s="75">
        <v>1000</v>
      </c>
      <c r="G13" s="81">
        <f t="shared" si="0"/>
        <v>130</v>
      </c>
      <c r="I13" s="14"/>
      <c r="J13" s="63"/>
      <c r="K13" s="63"/>
      <c r="L13" s="74"/>
      <c r="M13" s="74"/>
      <c r="N13" s="75"/>
      <c r="O13" s="81">
        <f t="shared" si="1"/>
        <v>1414.86</v>
      </c>
    </row>
    <row r="14" spans="1:15" x14ac:dyDescent="0.2">
      <c r="A14" s="14">
        <v>43075</v>
      </c>
      <c r="B14" s="63" t="s">
        <v>212</v>
      </c>
      <c r="C14" s="63" t="s">
        <v>211</v>
      </c>
      <c r="D14" s="74"/>
      <c r="E14" s="74"/>
      <c r="F14" s="75">
        <v>107.78</v>
      </c>
      <c r="G14" s="81">
        <f t="shared" si="0"/>
        <v>22.22</v>
      </c>
      <c r="I14" s="14"/>
      <c r="J14" s="63"/>
      <c r="K14" s="63"/>
      <c r="L14" s="74"/>
      <c r="M14" s="74"/>
      <c r="N14" s="75"/>
      <c r="O14" s="81">
        <f t="shared" si="1"/>
        <v>1414.86</v>
      </c>
    </row>
    <row r="15" spans="1:15" x14ac:dyDescent="0.2">
      <c r="A15" s="14"/>
      <c r="B15" s="63"/>
      <c r="C15" s="63"/>
      <c r="D15" s="74"/>
      <c r="E15" s="74"/>
      <c r="F15" s="75"/>
      <c r="G15" s="81">
        <f t="shared" si="0"/>
        <v>22.22</v>
      </c>
      <c r="H15" s="67"/>
      <c r="I15" s="14"/>
      <c r="J15" s="9"/>
      <c r="K15" s="9"/>
      <c r="L15" s="74"/>
      <c r="M15" s="74"/>
      <c r="N15" s="74"/>
      <c r="O15" s="81">
        <f t="shared" si="1"/>
        <v>1414.86</v>
      </c>
    </row>
    <row r="16" spans="1:15" x14ac:dyDescent="0.2">
      <c r="A16" s="14"/>
      <c r="B16" s="9"/>
      <c r="C16" s="9"/>
      <c r="D16" s="74"/>
      <c r="E16" s="74"/>
      <c r="F16" s="74"/>
      <c r="G16" s="81">
        <f t="shared" si="0"/>
        <v>22.22</v>
      </c>
      <c r="I16" s="14"/>
      <c r="J16" s="9"/>
      <c r="K16" s="9"/>
      <c r="L16" s="74"/>
      <c r="M16" s="74"/>
      <c r="N16" s="74"/>
      <c r="O16" s="81">
        <f t="shared" si="1"/>
        <v>1414.86</v>
      </c>
    </row>
    <row r="17" spans="1:15" x14ac:dyDescent="0.2">
      <c r="A17" s="14"/>
      <c r="B17" s="9"/>
      <c r="C17" s="9"/>
      <c r="D17" s="74"/>
      <c r="E17" s="74"/>
      <c r="F17" s="74"/>
      <c r="G17" s="81">
        <f t="shared" si="0"/>
        <v>22.22</v>
      </c>
      <c r="I17" s="14"/>
      <c r="J17" s="9"/>
      <c r="K17" s="9"/>
      <c r="L17" s="74"/>
      <c r="M17" s="74"/>
      <c r="N17" s="74"/>
      <c r="O17" s="81">
        <f t="shared" si="1"/>
        <v>1414.86</v>
      </c>
    </row>
    <row r="18" spans="1:15" x14ac:dyDescent="0.2">
      <c r="A18" s="14"/>
      <c r="B18" s="9"/>
      <c r="C18" s="9"/>
      <c r="D18" s="74"/>
      <c r="E18" s="74"/>
      <c r="F18" s="74"/>
      <c r="G18" s="81">
        <f t="shared" si="0"/>
        <v>22.22</v>
      </c>
      <c r="I18" s="14"/>
      <c r="J18" s="9"/>
      <c r="K18" s="58"/>
      <c r="L18" s="74"/>
      <c r="M18" s="74"/>
      <c r="N18" s="74"/>
      <c r="O18" s="81">
        <f t="shared" si="1"/>
        <v>1414.86</v>
      </c>
    </row>
    <row r="19" spans="1:15" x14ac:dyDescent="0.2">
      <c r="A19" s="14"/>
      <c r="B19" s="9"/>
      <c r="C19" s="58"/>
      <c r="D19" s="74"/>
      <c r="E19" s="74"/>
      <c r="F19" s="74"/>
      <c r="G19" s="81">
        <f t="shared" si="0"/>
        <v>22.22</v>
      </c>
      <c r="I19" s="14"/>
      <c r="J19" s="9"/>
      <c r="K19" s="58"/>
      <c r="L19" s="74"/>
      <c r="M19" s="74"/>
      <c r="N19" s="74"/>
      <c r="O19" s="81">
        <f t="shared" si="1"/>
        <v>1414.86</v>
      </c>
    </row>
    <row r="20" spans="1:15" x14ac:dyDescent="0.2">
      <c r="A20" s="14"/>
      <c r="B20" s="9"/>
      <c r="C20" s="58"/>
      <c r="D20" s="74"/>
      <c r="E20" s="74"/>
      <c r="F20" s="74"/>
      <c r="G20" s="81">
        <f t="shared" si="0"/>
        <v>22.22</v>
      </c>
      <c r="I20" s="14"/>
      <c r="J20" s="9"/>
      <c r="K20" s="9"/>
      <c r="L20" s="74"/>
      <c r="M20" s="74"/>
      <c r="N20" s="74"/>
      <c r="O20" s="81">
        <f t="shared" si="1"/>
        <v>1414.86</v>
      </c>
    </row>
    <row r="21" spans="1:15" x14ac:dyDescent="0.2">
      <c r="A21" s="14"/>
      <c r="B21" s="9"/>
      <c r="C21" s="9"/>
      <c r="D21" s="74"/>
      <c r="E21" s="74"/>
      <c r="F21" s="74"/>
      <c r="G21" s="81">
        <f t="shared" si="0"/>
        <v>22.22</v>
      </c>
      <c r="I21" s="14"/>
      <c r="J21" s="9"/>
      <c r="K21" s="58"/>
      <c r="L21" s="74"/>
      <c r="M21" s="74"/>
      <c r="N21" s="74"/>
      <c r="O21" s="81">
        <f t="shared" si="1"/>
        <v>1414.86</v>
      </c>
    </row>
    <row r="22" spans="1:15" x14ac:dyDescent="0.2">
      <c r="A22" s="14"/>
      <c r="B22" s="9"/>
      <c r="C22" s="58"/>
      <c r="D22" s="74"/>
      <c r="E22" s="74"/>
      <c r="F22" s="74"/>
      <c r="G22" s="81">
        <f t="shared" si="0"/>
        <v>22.22</v>
      </c>
      <c r="I22" s="14"/>
      <c r="J22" s="9"/>
      <c r="K22" s="58"/>
      <c r="L22" s="74"/>
      <c r="M22" s="74"/>
      <c r="N22" s="74"/>
      <c r="O22" s="81">
        <f t="shared" si="1"/>
        <v>1414.86</v>
      </c>
    </row>
    <row r="23" spans="1:15" x14ac:dyDescent="0.2">
      <c r="A23" s="14"/>
      <c r="B23" s="9"/>
      <c r="C23" s="58"/>
      <c r="D23" s="74"/>
      <c r="E23" s="74"/>
      <c r="F23" s="74"/>
      <c r="G23" s="81">
        <f t="shared" si="0"/>
        <v>22.22</v>
      </c>
      <c r="I23" s="14"/>
      <c r="J23" s="9"/>
      <c r="K23" s="58"/>
      <c r="L23" s="74"/>
      <c r="M23" s="74"/>
      <c r="N23" s="74"/>
      <c r="O23" s="81">
        <f t="shared" si="1"/>
        <v>1414.86</v>
      </c>
    </row>
    <row r="24" spans="1:15" x14ac:dyDescent="0.2">
      <c r="A24" s="14"/>
      <c r="B24" s="9"/>
      <c r="C24" s="58"/>
      <c r="D24" s="74"/>
      <c r="E24" s="74"/>
      <c r="F24" s="74"/>
      <c r="G24" s="81">
        <f t="shared" si="0"/>
        <v>22.22</v>
      </c>
      <c r="I24" s="14"/>
      <c r="J24" s="9"/>
      <c r="K24" s="58"/>
      <c r="L24" s="74"/>
      <c r="M24" s="74"/>
      <c r="N24" s="74"/>
      <c r="O24" s="81">
        <f t="shared" si="1"/>
        <v>1414.86</v>
      </c>
    </row>
    <row r="25" spans="1:15" x14ac:dyDescent="0.2">
      <c r="A25" s="14"/>
      <c r="B25" s="9"/>
      <c r="C25" s="58"/>
      <c r="D25" s="74"/>
      <c r="E25" s="74"/>
      <c r="F25" s="74"/>
      <c r="G25" s="81">
        <f t="shared" si="0"/>
        <v>22.22</v>
      </c>
      <c r="I25" s="14"/>
      <c r="J25" s="9"/>
      <c r="K25" s="58"/>
      <c r="L25" s="74"/>
      <c r="M25" s="74"/>
      <c r="N25" s="74"/>
      <c r="O25" s="81">
        <f t="shared" si="1"/>
        <v>1414.86</v>
      </c>
    </row>
    <row r="26" spans="1:15" x14ac:dyDescent="0.2">
      <c r="A26" s="14"/>
      <c r="B26" s="9"/>
      <c r="C26" s="58"/>
      <c r="D26" s="74"/>
      <c r="E26" s="74"/>
      <c r="F26" s="74"/>
      <c r="G26" s="81">
        <f t="shared" si="0"/>
        <v>22.22</v>
      </c>
      <c r="I26" s="14"/>
      <c r="J26" s="9"/>
      <c r="K26" s="58"/>
      <c r="L26" s="74"/>
      <c r="M26" s="74"/>
      <c r="N26" s="74"/>
      <c r="O26" s="81">
        <f t="shared" si="1"/>
        <v>1414.86</v>
      </c>
    </row>
    <row r="27" spans="1:15" x14ac:dyDescent="0.2">
      <c r="A27" s="14"/>
      <c r="B27" s="9"/>
      <c r="C27" s="58"/>
      <c r="D27" s="74"/>
      <c r="E27" s="74"/>
      <c r="F27" s="74"/>
      <c r="G27" s="81">
        <f t="shared" si="0"/>
        <v>22.22</v>
      </c>
      <c r="I27" s="14"/>
      <c r="J27" s="9"/>
      <c r="K27" s="58"/>
      <c r="L27" s="74"/>
      <c r="M27" s="74"/>
      <c r="N27" s="74"/>
      <c r="O27" s="81">
        <f t="shared" si="1"/>
        <v>1414.86</v>
      </c>
    </row>
    <row r="28" spans="1:15" x14ac:dyDescent="0.2">
      <c r="A28" s="14"/>
      <c r="B28" s="9"/>
      <c r="C28" s="9"/>
      <c r="D28" s="74"/>
      <c r="E28" s="74"/>
      <c r="F28" s="74"/>
      <c r="G28" s="81">
        <f t="shared" si="0"/>
        <v>22.22</v>
      </c>
      <c r="I28" s="14"/>
      <c r="J28" s="9"/>
      <c r="K28" s="9"/>
      <c r="L28" s="74"/>
      <c r="M28" s="74"/>
      <c r="N28" s="74"/>
      <c r="O28" s="81">
        <f t="shared" si="1"/>
        <v>1414.86</v>
      </c>
    </row>
    <row r="29" spans="1:15" x14ac:dyDescent="0.2">
      <c r="A29" s="93"/>
      <c r="B29" s="86"/>
      <c r="C29" s="86"/>
      <c r="D29" s="94"/>
      <c r="E29" s="94"/>
      <c r="F29" s="94"/>
      <c r="G29" s="81">
        <f t="shared" si="0"/>
        <v>22.22</v>
      </c>
      <c r="I29" s="93"/>
      <c r="J29" s="86"/>
      <c r="K29" s="86"/>
      <c r="L29" s="94"/>
      <c r="M29" s="94"/>
      <c r="N29" s="94"/>
      <c r="O29" s="81">
        <f t="shared" si="1"/>
        <v>1414.86</v>
      </c>
    </row>
    <row r="30" spans="1:15" x14ac:dyDescent="0.2">
      <c r="A30" s="93"/>
      <c r="B30" s="46"/>
      <c r="C30" s="46"/>
      <c r="D30" s="94"/>
      <c r="E30" s="94"/>
      <c r="F30" s="94"/>
      <c r="G30" s="81">
        <f t="shared" si="0"/>
        <v>22.22</v>
      </c>
      <c r="I30" s="93"/>
      <c r="J30" s="46"/>
      <c r="K30" s="46"/>
      <c r="L30" s="94"/>
      <c r="M30" s="94"/>
      <c r="N30" s="94"/>
      <c r="O30" s="81">
        <f t="shared" si="1"/>
        <v>1414.86</v>
      </c>
    </row>
    <row r="31" spans="1:15" x14ac:dyDescent="0.2">
      <c r="A31" s="93"/>
      <c r="B31" s="46"/>
      <c r="C31" s="46"/>
      <c r="D31" s="94"/>
      <c r="E31" s="94"/>
      <c r="F31" s="94"/>
      <c r="G31" s="81">
        <f t="shared" si="0"/>
        <v>22.22</v>
      </c>
      <c r="I31" s="93"/>
      <c r="J31" s="46"/>
      <c r="K31" s="46"/>
      <c r="L31" s="94"/>
      <c r="M31" s="94"/>
      <c r="N31" s="94"/>
      <c r="O31" s="81">
        <f t="shared" si="1"/>
        <v>1414.86</v>
      </c>
    </row>
    <row r="32" spans="1:15" ht="13.5" thickBot="1" x14ac:dyDescent="0.25">
      <c r="A32" s="95"/>
      <c r="B32" s="37"/>
      <c r="C32" s="37"/>
      <c r="D32" s="82"/>
      <c r="E32" s="82"/>
      <c r="F32" s="82"/>
      <c r="G32" s="81">
        <f t="shared" si="0"/>
        <v>22.22</v>
      </c>
      <c r="I32" s="95"/>
      <c r="J32" s="37"/>
      <c r="K32" s="37"/>
      <c r="L32" s="82"/>
      <c r="M32" s="82"/>
      <c r="N32" s="82"/>
      <c r="O32" s="81">
        <f t="shared" si="1"/>
        <v>1414.86</v>
      </c>
    </row>
    <row r="33" spans="1:15" ht="13.5" thickTop="1" x14ac:dyDescent="0.2">
      <c r="A33" s="40"/>
      <c r="B33" s="41"/>
      <c r="C33" s="41"/>
      <c r="D33" s="77"/>
      <c r="E33" s="77"/>
      <c r="F33" s="77"/>
      <c r="G33" s="78"/>
      <c r="I33" s="40"/>
      <c r="J33" s="41"/>
      <c r="K33" s="41"/>
      <c r="L33" s="77"/>
      <c r="M33" s="77"/>
      <c r="N33" s="77"/>
      <c r="O33" s="78"/>
    </row>
    <row r="34" spans="1:15" ht="13.5" thickBot="1" x14ac:dyDescent="0.25">
      <c r="A34" s="42" t="s">
        <v>3</v>
      </c>
      <c r="B34" s="43"/>
      <c r="C34" s="43"/>
      <c r="D34" s="13"/>
      <c r="E34" s="84"/>
      <c r="F34" s="84"/>
      <c r="G34" s="211">
        <f>G32</f>
        <v>22.22</v>
      </c>
      <c r="I34" s="42" t="s">
        <v>3</v>
      </c>
      <c r="J34" s="43"/>
      <c r="K34" s="43"/>
      <c r="L34" s="13"/>
      <c r="M34" s="84"/>
      <c r="N34" s="84"/>
      <c r="O34" s="211">
        <f>O32</f>
        <v>1414.86</v>
      </c>
    </row>
    <row r="38" spans="1:15" x14ac:dyDescent="0.2">
      <c r="G38" s="49" t="s">
        <v>114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1700-000000000000}"/>
  </hyperlinks>
  <pageMargins left="0.75" right="0.75" top="1" bottom="1" header="0.5" footer="0.5"/>
  <pageSetup scale="7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:O23"/>
  <sheetViews>
    <sheetView workbookViewId="0">
      <selection activeCell="H1" sqref="H1"/>
    </sheetView>
  </sheetViews>
  <sheetFormatPr defaultRowHeight="12.75" x14ac:dyDescent="0.2"/>
  <cols>
    <col min="2" max="2" width="10.28515625" customWidth="1"/>
    <col min="3" max="3" width="26.42578125" customWidth="1"/>
    <col min="4" max="4" width="12" customWidth="1"/>
    <col min="5" max="5" width="11.85546875" customWidth="1"/>
    <col min="6" max="6" width="10.85546875" customWidth="1"/>
    <col min="7" max="7" width="10.28515625" bestFit="1" customWidth="1"/>
    <col min="10" max="10" width="10.28515625" customWidth="1"/>
    <col min="11" max="11" width="26.42578125" customWidth="1"/>
    <col min="12" max="12" width="12" customWidth="1"/>
    <col min="13" max="13" width="11.85546875" customWidth="1"/>
    <col min="14" max="14" width="10.85546875" customWidth="1"/>
    <col min="15" max="15" width="10.2851562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51</v>
      </c>
      <c r="B4" s="363"/>
      <c r="C4" s="363"/>
      <c r="D4" s="363"/>
      <c r="E4" s="363"/>
      <c r="F4" s="363"/>
      <c r="G4" s="364"/>
      <c r="I4" s="362" t="s">
        <v>51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4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4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225.9</v>
      </c>
      <c r="I8" s="14"/>
      <c r="J8" s="24"/>
      <c r="K8" s="9" t="s">
        <v>74</v>
      </c>
      <c r="L8" s="74"/>
      <c r="M8" s="74"/>
      <c r="N8" s="75"/>
      <c r="O8" s="249">
        <v>466.47</v>
      </c>
    </row>
    <row r="9" spans="1:15" x14ac:dyDescent="0.2">
      <c r="A9" s="14"/>
      <c r="B9" s="24"/>
      <c r="C9" s="9"/>
      <c r="D9" s="74"/>
      <c r="E9" s="74"/>
      <c r="F9" s="75"/>
      <c r="G9" s="81">
        <f t="shared" ref="G9:G21" si="0">SUM(G8+D9-E9-F9)</f>
        <v>225.9</v>
      </c>
      <c r="I9" s="128"/>
      <c r="J9" s="129"/>
      <c r="K9" s="234"/>
      <c r="L9" s="137"/>
      <c r="M9" s="137"/>
      <c r="N9" s="137"/>
      <c r="O9" s="81">
        <f>O8+L9-M9-N9</f>
        <v>466.47</v>
      </c>
    </row>
    <row r="10" spans="1:15" x14ac:dyDescent="0.2">
      <c r="A10" s="128"/>
      <c r="B10" s="129"/>
      <c r="C10" s="234"/>
      <c r="D10" s="137"/>
      <c r="E10" s="137"/>
      <c r="F10" s="137"/>
      <c r="G10" s="81">
        <f t="shared" si="0"/>
        <v>225.9</v>
      </c>
      <c r="I10" s="14"/>
      <c r="J10" s="9"/>
      <c r="K10" s="9"/>
      <c r="L10" s="74"/>
      <c r="M10" s="74"/>
      <c r="N10" s="75"/>
      <c r="O10" s="81">
        <f t="shared" ref="O10:O20" si="1">O9+L10-M10-N10</f>
        <v>466.47</v>
      </c>
    </row>
    <row r="11" spans="1:15" x14ac:dyDescent="0.2">
      <c r="A11" s="14"/>
      <c r="B11" s="9"/>
      <c r="C11" s="9"/>
      <c r="D11" s="74"/>
      <c r="E11" s="74"/>
      <c r="F11" s="75"/>
      <c r="G11" s="81">
        <f t="shared" si="0"/>
        <v>225.9</v>
      </c>
      <c r="I11" s="14"/>
      <c r="J11" s="9"/>
      <c r="K11" s="9"/>
      <c r="L11" s="74"/>
      <c r="M11" s="74"/>
      <c r="N11" s="75"/>
      <c r="O11" s="81">
        <f t="shared" si="1"/>
        <v>466.47</v>
      </c>
    </row>
    <row r="12" spans="1:15" x14ac:dyDescent="0.2">
      <c r="A12" s="14"/>
      <c r="B12" s="9"/>
      <c r="C12" s="9"/>
      <c r="D12" s="74"/>
      <c r="E12" s="74"/>
      <c r="F12" s="75"/>
      <c r="G12" s="81">
        <f t="shared" si="0"/>
        <v>225.9</v>
      </c>
      <c r="I12" s="16"/>
      <c r="J12" s="9"/>
      <c r="K12" s="9"/>
      <c r="L12" s="74"/>
      <c r="M12" s="74"/>
      <c r="N12" s="74"/>
      <c r="O12" s="81">
        <f t="shared" si="1"/>
        <v>466.47</v>
      </c>
    </row>
    <row r="13" spans="1:15" x14ac:dyDescent="0.2">
      <c r="A13" s="16"/>
      <c r="B13" s="9"/>
      <c r="C13" s="9"/>
      <c r="D13" s="74"/>
      <c r="E13" s="74"/>
      <c r="F13" s="74"/>
      <c r="G13" s="81">
        <f t="shared" si="0"/>
        <v>225.9</v>
      </c>
      <c r="I13" s="16"/>
      <c r="J13" s="9"/>
      <c r="K13" s="9"/>
      <c r="L13" s="74"/>
      <c r="M13" s="74"/>
      <c r="N13" s="74"/>
      <c r="O13" s="81">
        <f t="shared" si="1"/>
        <v>466.47</v>
      </c>
    </row>
    <row r="14" spans="1:15" x14ac:dyDescent="0.2">
      <c r="A14" s="16"/>
      <c r="B14" s="9"/>
      <c r="C14" s="9"/>
      <c r="D14" s="74"/>
      <c r="E14" s="74"/>
      <c r="F14" s="74"/>
      <c r="G14" s="81">
        <f t="shared" si="0"/>
        <v>225.9</v>
      </c>
      <c r="I14" s="16"/>
      <c r="J14" s="9"/>
      <c r="K14" s="9"/>
      <c r="L14" s="74"/>
      <c r="M14" s="74"/>
      <c r="N14" s="74"/>
      <c r="O14" s="81">
        <f t="shared" si="1"/>
        <v>466.47</v>
      </c>
    </row>
    <row r="15" spans="1:15" x14ac:dyDescent="0.2">
      <c r="A15" s="16"/>
      <c r="B15" s="9"/>
      <c r="C15" s="9"/>
      <c r="D15" s="74"/>
      <c r="E15" s="74"/>
      <c r="F15" s="74"/>
      <c r="G15" s="81">
        <f t="shared" si="0"/>
        <v>225.9</v>
      </c>
      <c r="I15" s="16"/>
      <c r="J15" s="9"/>
      <c r="K15" s="9"/>
      <c r="L15" s="74"/>
      <c r="M15" s="74"/>
      <c r="N15" s="74"/>
      <c r="O15" s="81">
        <f t="shared" si="1"/>
        <v>466.47</v>
      </c>
    </row>
    <row r="16" spans="1:15" x14ac:dyDescent="0.2">
      <c r="A16" s="16"/>
      <c r="B16" s="9"/>
      <c r="C16" s="9"/>
      <c r="D16" s="74"/>
      <c r="E16" s="74"/>
      <c r="F16" s="74"/>
      <c r="G16" s="81">
        <f t="shared" si="0"/>
        <v>225.9</v>
      </c>
      <c r="I16" s="16"/>
      <c r="J16" s="9"/>
      <c r="K16" s="9"/>
      <c r="L16" s="74"/>
      <c r="M16" s="74"/>
      <c r="N16" s="74"/>
      <c r="O16" s="81">
        <f t="shared" si="1"/>
        <v>466.47</v>
      </c>
    </row>
    <row r="17" spans="1:15" x14ac:dyDescent="0.2">
      <c r="A17" s="16"/>
      <c r="B17" s="9"/>
      <c r="C17" s="9"/>
      <c r="D17" s="74"/>
      <c r="E17" s="74"/>
      <c r="F17" s="74"/>
      <c r="G17" s="85">
        <f t="shared" si="0"/>
        <v>225.9</v>
      </c>
      <c r="I17" s="16"/>
      <c r="J17" s="9"/>
      <c r="K17" s="9"/>
      <c r="L17" s="74"/>
      <c r="M17" s="74"/>
      <c r="N17" s="74"/>
      <c r="O17" s="81">
        <f t="shared" si="1"/>
        <v>466.47</v>
      </c>
    </row>
    <row r="18" spans="1:15" x14ac:dyDescent="0.2">
      <c r="A18" s="16"/>
      <c r="B18" s="9"/>
      <c r="C18" s="9"/>
      <c r="D18" s="74"/>
      <c r="E18" s="74"/>
      <c r="F18" s="74"/>
      <c r="G18" s="85">
        <f t="shared" si="0"/>
        <v>225.9</v>
      </c>
      <c r="I18" s="16"/>
      <c r="J18" s="9"/>
      <c r="K18" s="9"/>
      <c r="L18" s="74"/>
      <c r="M18" s="74"/>
      <c r="N18" s="74"/>
      <c r="O18" s="81">
        <f t="shared" si="1"/>
        <v>466.47</v>
      </c>
    </row>
    <row r="19" spans="1:15" x14ac:dyDescent="0.2">
      <c r="A19" s="16"/>
      <c r="B19" s="9"/>
      <c r="C19" s="9"/>
      <c r="D19" s="74"/>
      <c r="E19" s="74"/>
      <c r="F19" s="74"/>
      <c r="G19" s="85">
        <f t="shared" si="0"/>
        <v>225.9</v>
      </c>
      <c r="I19" s="16"/>
      <c r="J19" s="9"/>
      <c r="K19" s="9"/>
      <c r="L19" s="74"/>
      <c r="M19" s="74"/>
      <c r="N19" s="74"/>
      <c r="O19" s="81">
        <f t="shared" si="1"/>
        <v>466.47</v>
      </c>
    </row>
    <row r="20" spans="1:15" x14ac:dyDescent="0.2">
      <c r="A20" s="16"/>
      <c r="B20" s="9"/>
      <c r="C20" s="9"/>
      <c r="D20" s="74"/>
      <c r="E20" s="74"/>
      <c r="F20" s="74"/>
      <c r="G20" s="85">
        <f t="shared" si="0"/>
        <v>225.9</v>
      </c>
      <c r="I20" s="16"/>
      <c r="J20" s="9"/>
      <c r="K20" s="9"/>
      <c r="L20" s="74"/>
      <c r="M20" s="74"/>
      <c r="N20" s="74"/>
      <c r="O20" s="81">
        <f t="shared" si="1"/>
        <v>466.47</v>
      </c>
    </row>
    <row r="21" spans="1:15" ht="13.5" thickBot="1" x14ac:dyDescent="0.25">
      <c r="A21" s="36"/>
      <c r="B21" s="37"/>
      <c r="C21" s="37"/>
      <c r="D21" s="82"/>
      <c r="E21" s="82"/>
      <c r="F21" s="82"/>
      <c r="G21" s="83">
        <f t="shared" si="0"/>
        <v>225.9</v>
      </c>
      <c r="I21" s="36"/>
      <c r="J21" s="37"/>
      <c r="K21" s="37"/>
      <c r="L21" s="82"/>
      <c r="M21" s="82"/>
      <c r="N21" s="82"/>
      <c r="O21" s="83">
        <f>SUM(O20+L21-M21-N21)</f>
        <v>466.47</v>
      </c>
    </row>
    <row r="22" spans="1:15" ht="13.5" thickTop="1" x14ac:dyDescent="0.2">
      <c r="A22" s="40"/>
      <c r="B22" s="41"/>
      <c r="C22" s="41"/>
      <c r="D22" s="77"/>
      <c r="E22" s="77"/>
      <c r="F22" s="77"/>
      <c r="G22" s="78"/>
      <c r="I22" s="40"/>
      <c r="J22" s="41"/>
      <c r="K22" s="41"/>
      <c r="L22" s="77"/>
      <c r="M22" s="77"/>
      <c r="N22" s="77"/>
      <c r="O22" s="78"/>
    </row>
    <row r="23" spans="1:15" ht="13.5" thickBot="1" x14ac:dyDescent="0.25">
      <c r="A23" s="42" t="s">
        <v>3</v>
      </c>
      <c r="B23" s="43"/>
      <c r="C23" s="43"/>
      <c r="D23" s="76"/>
      <c r="E23" s="84"/>
      <c r="F23" s="84"/>
      <c r="G23" s="211">
        <f>G21</f>
        <v>225.9</v>
      </c>
      <c r="I23" s="42" t="s">
        <v>3</v>
      </c>
      <c r="J23" s="43"/>
      <c r="K23" s="43"/>
      <c r="L23" s="76"/>
      <c r="M23" s="84"/>
      <c r="N23" s="84"/>
      <c r="O23" s="211">
        <f>O21</f>
        <v>466.47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23"/>
  <sheetViews>
    <sheetView workbookViewId="0">
      <selection activeCell="I9" sqref="I9"/>
    </sheetView>
  </sheetViews>
  <sheetFormatPr defaultRowHeight="12.75" x14ac:dyDescent="0.2"/>
  <cols>
    <col min="2" max="2" width="10.28515625" customWidth="1"/>
    <col min="3" max="3" width="26.42578125" customWidth="1"/>
    <col min="4" max="4" width="12" customWidth="1"/>
    <col min="5" max="5" width="11.85546875" customWidth="1"/>
    <col min="6" max="6" width="10.85546875" customWidth="1"/>
    <col min="7" max="7" width="10.28515625" bestFit="1" customWidth="1"/>
    <col min="10" max="10" width="10.28515625" customWidth="1"/>
    <col min="11" max="11" width="26.42578125" customWidth="1"/>
    <col min="12" max="12" width="12" customWidth="1"/>
    <col min="13" max="13" width="11.85546875" customWidth="1"/>
    <col min="14" max="14" width="10.85546875" customWidth="1"/>
    <col min="15" max="15" width="10.2851562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88</v>
      </c>
      <c r="B4" s="363"/>
      <c r="C4" s="363"/>
      <c r="D4" s="363"/>
      <c r="E4" s="363"/>
      <c r="F4" s="363"/>
      <c r="G4" s="364"/>
      <c r="I4" s="362" t="s">
        <v>88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4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4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14"/>
      <c r="J8" s="24"/>
      <c r="K8" s="9" t="s">
        <v>74</v>
      </c>
      <c r="L8" s="74"/>
      <c r="M8" s="74"/>
      <c r="N8" s="75"/>
      <c r="O8" s="249">
        <f>L8</f>
        <v>0</v>
      </c>
    </row>
    <row r="9" spans="1:15" x14ac:dyDescent="0.2">
      <c r="A9" s="14"/>
      <c r="B9" s="24"/>
      <c r="C9" s="9"/>
      <c r="D9" s="74"/>
      <c r="E9" s="74"/>
      <c r="F9" s="75"/>
      <c r="G9" s="81">
        <f t="shared" ref="G9:G21" si="0">SUM(G8+D9-E9-F9)</f>
        <v>0</v>
      </c>
      <c r="I9" s="128"/>
      <c r="J9" s="129"/>
      <c r="K9" s="234"/>
      <c r="L9" s="137"/>
      <c r="M9" s="137"/>
      <c r="N9" s="137"/>
      <c r="O9" s="81">
        <f>O8+L9-M9-N9</f>
        <v>0</v>
      </c>
    </row>
    <row r="10" spans="1:15" x14ac:dyDescent="0.2">
      <c r="A10" s="128"/>
      <c r="B10" s="129"/>
      <c r="C10" s="234"/>
      <c r="D10" s="137"/>
      <c r="E10" s="137"/>
      <c r="F10" s="137"/>
      <c r="G10" s="81">
        <f t="shared" si="0"/>
        <v>0</v>
      </c>
      <c r="I10" s="14"/>
      <c r="J10" s="9"/>
      <c r="K10" s="9"/>
      <c r="L10" s="74"/>
      <c r="M10" s="74"/>
      <c r="N10" s="75"/>
      <c r="O10" s="81">
        <f t="shared" ref="O10:O20" si="1">O9+L10-M10-N10</f>
        <v>0</v>
      </c>
    </row>
    <row r="11" spans="1:15" x14ac:dyDescent="0.2">
      <c r="A11" s="14"/>
      <c r="B11" s="9"/>
      <c r="C11" s="9"/>
      <c r="D11" s="74"/>
      <c r="E11" s="74"/>
      <c r="F11" s="75"/>
      <c r="G11" s="81">
        <f t="shared" si="0"/>
        <v>0</v>
      </c>
      <c r="I11" s="14"/>
      <c r="J11" s="9"/>
      <c r="K11" s="9"/>
      <c r="L11" s="74"/>
      <c r="M11" s="74"/>
      <c r="N11" s="75"/>
      <c r="O11" s="81">
        <f t="shared" si="1"/>
        <v>0</v>
      </c>
    </row>
    <row r="12" spans="1:15" x14ac:dyDescent="0.2">
      <c r="A12" s="14"/>
      <c r="B12" s="9"/>
      <c r="C12" s="9"/>
      <c r="D12" s="74"/>
      <c r="E12" s="74"/>
      <c r="F12" s="75"/>
      <c r="G12" s="81">
        <f t="shared" si="0"/>
        <v>0</v>
      </c>
      <c r="I12" s="16"/>
      <c r="J12" s="9"/>
      <c r="K12" s="9"/>
      <c r="L12" s="74"/>
      <c r="M12" s="74"/>
      <c r="N12" s="74"/>
      <c r="O12" s="81">
        <f t="shared" si="1"/>
        <v>0</v>
      </c>
    </row>
    <row r="13" spans="1:15" x14ac:dyDescent="0.2">
      <c r="A13" s="16"/>
      <c r="B13" s="9"/>
      <c r="C13" s="9"/>
      <c r="D13" s="74"/>
      <c r="E13" s="74"/>
      <c r="F13" s="74"/>
      <c r="G13" s="81">
        <f t="shared" si="0"/>
        <v>0</v>
      </c>
      <c r="I13" s="16"/>
      <c r="J13" s="9"/>
      <c r="K13" s="9"/>
      <c r="L13" s="74"/>
      <c r="M13" s="74"/>
      <c r="N13" s="74"/>
      <c r="O13" s="81">
        <f t="shared" si="1"/>
        <v>0</v>
      </c>
    </row>
    <row r="14" spans="1:15" x14ac:dyDescent="0.2">
      <c r="A14" s="16"/>
      <c r="B14" s="9"/>
      <c r="C14" s="9"/>
      <c r="D14" s="74"/>
      <c r="E14" s="74"/>
      <c r="F14" s="74"/>
      <c r="G14" s="81">
        <f t="shared" si="0"/>
        <v>0</v>
      </c>
      <c r="I14" s="16"/>
      <c r="J14" s="9"/>
      <c r="K14" s="9"/>
      <c r="L14" s="74"/>
      <c r="M14" s="74"/>
      <c r="N14" s="74"/>
      <c r="O14" s="81">
        <f t="shared" si="1"/>
        <v>0</v>
      </c>
    </row>
    <row r="15" spans="1:15" x14ac:dyDescent="0.2">
      <c r="A15" s="16"/>
      <c r="B15" s="9"/>
      <c r="C15" s="9"/>
      <c r="D15" s="74"/>
      <c r="E15" s="74"/>
      <c r="F15" s="74"/>
      <c r="G15" s="81">
        <f t="shared" si="0"/>
        <v>0</v>
      </c>
      <c r="I15" s="16"/>
      <c r="J15" s="9"/>
      <c r="K15" s="9"/>
      <c r="L15" s="74"/>
      <c r="M15" s="74"/>
      <c r="N15" s="74"/>
      <c r="O15" s="81">
        <f t="shared" si="1"/>
        <v>0</v>
      </c>
    </row>
    <row r="16" spans="1:15" x14ac:dyDescent="0.2">
      <c r="A16" s="16"/>
      <c r="B16" s="9"/>
      <c r="C16" s="9"/>
      <c r="D16" s="74"/>
      <c r="E16" s="74"/>
      <c r="F16" s="74"/>
      <c r="G16" s="81">
        <f t="shared" si="0"/>
        <v>0</v>
      </c>
      <c r="I16" s="16"/>
      <c r="J16" s="9"/>
      <c r="K16" s="9"/>
      <c r="L16" s="74"/>
      <c r="M16" s="74"/>
      <c r="N16" s="74"/>
      <c r="O16" s="81">
        <f t="shared" si="1"/>
        <v>0</v>
      </c>
    </row>
    <row r="17" spans="1:15" x14ac:dyDescent="0.2">
      <c r="A17" s="16"/>
      <c r="B17" s="9"/>
      <c r="C17" s="9"/>
      <c r="D17" s="74"/>
      <c r="E17" s="74"/>
      <c r="F17" s="74"/>
      <c r="G17" s="85">
        <f t="shared" si="0"/>
        <v>0</v>
      </c>
      <c r="I17" s="16"/>
      <c r="J17" s="9"/>
      <c r="K17" s="9"/>
      <c r="L17" s="74"/>
      <c r="M17" s="74"/>
      <c r="N17" s="74"/>
      <c r="O17" s="81">
        <f t="shared" si="1"/>
        <v>0</v>
      </c>
    </row>
    <row r="18" spans="1:15" x14ac:dyDescent="0.2">
      <c r="A18" s="16"/>
      <c r="B18" s="9"/>
      <c r="C18" s="9"/>
      <c r="D18" s="74"/>
      <c r="E18" s="74"/>
      <c r="F18" s="74"/>
      <c r="G18" s="85">
        <f t="shared" si="0"/>
        <v>0</v>
      </c>
      <c r="I18" s="16"/>
      <c r="J18" s="9"/>
      <c r="K18" s="9"/>
      <c r="L18" s="74"/>
      <c r="M18" s="74"/>
      <c r="N18" s="74"/>
      <c r="O18" s="81">
        <f t="shared" si="1"/>
        <v>0</v>
      </c>
    </row>
    <row r="19" spans="1:15" x14ac:dyDescent="0.2">
      <c r="A19" s="16"/>
      <c r="B19" s="9"/>
      <c r="C19" s="9"/>
      <c r="D19" s="74"/>
      <c r="E19" s="74"/>
      <c r="F19" s="74"/>
      <c r="G19" s="85">
        <f t="shared" si="0"/>
        <v>0</v>
      </c>
      <c r="I19" s="16"/>
      <c r="J19" s="9"/>
      <c r="K19" s="9"/>
      <c r="L19" s="74"/>
      <c r="M19" s="74"/>
      <c r="N19" s="74"/>
      <c r="O19" s="81">
        <f t="shared" si="1"/>
        <v>0</v>
      </c>
    </row>
    <row r="20" spans="1:15" x14ac:dyDescent="0.2">
      <c r="A20" s="16"/>
      <c r="B20" s="9"/>
      <c r="C20" s="9"/>
      <c r="D20" s="74"/>
      <c r="E20" s="74"/>
      <c r="F20" s="74"/>
      <c r="G20" s="85">
        <f t="shared" si="0"/>
        <v>0</v>
      </c>
      <c r="I20" s="16"/>
      <c r="J20" s="9"/>
      <c r="K20" s="9"/>
      <c r="L20" s="74"/>
      <c r="M20" s="74"/>
      <c r="N20" s="74"/>
      <c r="O20" s="81">
        <f t="shared" si="1"/>
        <v>0</v>
      </c>
    </row>
    <row r="21" spans="1:15" ht="13.5" thickBot="1" x14ac:dyDescent="0.25">
      <c r="A21" s="36"/>
      <c r="B21" s="37"/>
      <c r="C21" s="37"/>
      <c r="D21" s="82"/>
      <c r="E21" s="82"/>
      <c r="F21" s="82"/>
      <c r="G21" s="83">
        <f t="shared" si="0"/>
        <v>0</v>
      </c>
      <c r="I21" s="36"/>
      <c r="J21" s="37"/>
      <c r="K21" s="37"/>
      <c r="L21" s="82"/>
      <c r="M21" s="82"/>
      <c r="N21" s="82"/>
      <c r="O21" s="83">
        <f>SUM(O20+L21-M21-N21)</f>
        <v>0</v>
      </c>
    </row>
    <row r="22" spans="1:15" ht="13.5" thickTop="1" x14ac:dyDescent="0.2">
      <c r="A22" s="40"/>
      <c r="B22" s="41"/>
      <c r="C22" s="41"/>
      <c r="D22" s="77"/>
      <c r="E22" s="77"/>
      <c r="F22" s="77"/>
      <c r="G22" s="78"/>
      <c r="I22" s="40"/>
      <c r="J22" s="41"/>
      <c r="K22" s="41"/>
      <c r="L22" s="77"/>
      <c r="M22" s="77"/>
      <c r="N22" s="77"/>
      <c r="O22" s="78"/>
    </row>
    <row r="23" spans="1:15" ht="13.5" thickBot="1" x14ac:dyDescent="0.25">
      <c r="A23" s="42" t="s">
        <v>3</v>
      </c>
      <c r="B23" s="43"/>
      <c r="C23" s="43"/>
      <c r="D23" s="76"/>
      <c r="E23" s="84"/>
      <c r="F23" s="84"/>
      <c r="G23" s="211">
        <f>G21</f>
        <v>0</v>
      </c>
      <c r="I23" s="42" t="s">
        <v>3</v>
      </c>
      <c r="J23" s="43"/>
      <c r="K23" s="43"/>
      <c r="L23" s="76"/>
      <c r="M23" s="84"/>
      <c r="N23" s="84"/>
      <c r="O23" s="211">
        <f>O21</f>
        <v>0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2"/>
  <dimension ref="A1:O31"/>
  <sheetViews>
    <sheetView zoomScaleNormal="100" workbookViewId="0">
      <selection activeCell="H1" sqref="H1"/>
    </sheetView>
  </sheetViews>
  <sheetFormatPr defaultRowHeight="12.75" x14ac:dyDescent="0.2"/>
  <cols>
    <col min="1" max="2" width="11.28515625" style="49" bestFit="1" customWidth="1"/>
    <col min="3" max="3" width="30.140625" style="49" customWidth="1"/>
    <col min="4" max="4" width="14.85546875" style="49" bestFit="1" customWidth="1"/>
    <col min="5" max="5" width="5.42578125" style="49" bestFit="1" customWidth="1"/>
    <col min="6" max="6" width="10.140625" style="49" bestFit="1" customWidth="1"/>
    <col min="7" max="7" width="12.5703125" style="49" customWidth="1"/>
    <col min="8" max="8" width="9.140625" style="49"/>
    <col min="9" max="9" width="11.28515625" style="49" bestFit="1" customWidth="1"/>
    <col min="10" max="10" width="10.5703125" style="49" bestFit="1" customWidth="1"/>
    <col min="11" max="11" width="30.140625" style="49" customWidth="1"/>
    <col min="12" max="12" width="14.85546875" style="49" bestFit="1" customWidth="1"/>
    <col min="13" max="13" width="5.42578125" style="49" bestFit="1" customWidth="1"/>
    <col min="14" max="14" width="10.140625" style="49" bestFit="1" customWidth="1"/>
    <col min="15" max="15" width="12.5703125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customHeight="1" x14ac:dyDescent="0.5">
      <c r="A4" s="362" t="s">
        <v>52</v>
      </c>
      <c r="B4" s="363"/>
      <c r="C4" s="363"/>
      <c r="D4" s="363"/>
      <c r="E4" s="363"/>
      <c r="F4" s="363"/>
      <c r="G4" s="364"/>
      <c r="H4" s="96"/>
      <c r="I4" s="362" t="s">
        <v>52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H5" s="97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5.5" customHeight="1" thickBot="1" x14ac:dyDescent="0.25">
      <c r="A7" s="216" t="s">
        <v>1</v>
      </c>
      <c r="B7" s="217" t="s">
        <v>12</v>
      </c>
      <c r="C7" s="218" t="s">
        <v>0</v>
      </c>
      <c r="D7" s="230" t="s">
        <v>2</v>
      </c>
      <c r="E7" s="250" t="s">
        <v>8</v>
      </c>
      <c r="F7" s="230" t="s">
        <v>5</v>
      </c>
      <c r="G7" s="231" t="s">
        <v>6</v>
      </c>
      <c r="I7" s="216" t="s">
        <v>1</v>
      </c>
      <c r="J7" s="217" t="s">
        <v>12</v>
      </c>
      <c r="K7" s="218" t="s">
        <v>0</v>
      </c>
      <c r="L7" s="230" t="s">
        <v>2</v>
      </c>
      <c r="M7" s="250" t="s">
        <v>8</v>
      </c>
      <c r="N7" s="230" t="s">
        <v>5</v>
      </c>
      <c r="O7" s="231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3600</v>
      </c>
      <c r="I8" s="24"/>
      <c r="J8" s="9"/>
      <c r="K8" s="9" t="s">
        <v>75</v>
      </c>
      <c r="L8" s="104"/>
      <c r="M8" s="104"/>
      <c r="N8" s="104"/>
      <c r="O8" s="249">
        <v>1225</v>
      </c>
    </row>
    <row r="9" spans="1:15" x14ac:dyDescent="0.2">
      <c r="A9" s="14"/>
      <c r="B9" s="9"/>
      <c r="C9" s="63"/>
      <c r="D9" s="104"/>
      <c r="E9" s="104"/>
      <c r="F9" s="105"/>
      <c r="G9" s="103">
        <f>SUM(G8+D9-E9-F9)</f>
        <v>3600</v>
      </c>
      <c r="I9" s="24"/>
      <c r="J9" s="9"/>
      <c r="K9" s="63"/>
      <c r="L9" s="104"/>
      <c r="M9" s="104"/>
      <c r="N9" s="104"/>
      <c r="O9" s="103">
        <f>O8+L9-M9-N9</f>
        <v>1225</v>
      </c>
    </row>
    <row r="10" spans="1:15" x14ac:dyDescent="0.2">
      <c r="A10" s="24"/>
      <c r="B10" s="9"/>
      <c r="C10" s="9"/>
      <c r="D10" s="104"/>
      <c r="E10" s="104"/>
      <c r="F10" s="104"/>
      <c r="G10" s="103">
        <f t="shared" ref="G10:G29" si="0">SUM(G9+D10-E10-F10)</f>
        <v>3600</v>
      </c>
      <c r="I10" s="24"/>
      <c r="J10" s="9"/>
      <c r="K10" s="9"/>
      <c r="L10" s="104"/>
      <c r="M10" s="104"/>
      <c r="N10" s="104"/>
      <c r="O10" s="103">
        <f t="shared" ref="O10:O29" si="1">O9+L10-M10-N10</f>
        <v>1225</v>
      </c>
    </row>
    <row r="11" spans="1:15" x14ac:dyDescent="0.2">
      <c r="A11" s="24"/>
      <c r="B11" s="9"/>
      <c r="C11" s="63"/>
      <c r="D11" s="104"/>
      <c r="E11" s="104"/>
      <c r="F11" s="104"/>
      <c r="G11" s="103">
        <f t="shared" si="0"/>
        <v>3600</v>
      </c>
      <c r="I11" s="24"/>
      <c r="J11" s="9"/>
      <c r="K11" s="9"/>
      <c r="L11" s="104"/>
      <c r="M11" s="104"/>
      <c r="N11" s="104"/>
      <c r="O11" s="103">
        <f t="shared" si="1"/>
        <v>1225</v>
      </c>
    </row>
    <row r="12" spans="1:15" x14ac:dyDescent="0.2">
      <c r="A12" s="24"/>
      <c r="B12" s="9"/>
      <c r="C12" s="9"/>
      <c r="D12" s="104"/>
      <c r="E12" s="104"/>
      <c r="F12" s="104"/>
      <c r="G12" s="103">
        <f t="shared" si="0"/>
        <v>3600</v>
      </c>
      <c r="I12" s="9"/>
      <c r="J12" s="9"/>
      <c r="K12" s="9"/>
      <c r="L12" s="104"/>
      <c r="M12" s="104"/>
      <c r="N12" s="104"/>
      <c r="O12" s="103">
        <f t="shared" si="1"/>
        <v>1225</v>
      </c>
    </row>
    <row r="13" spans="1:15" x14ac:dyDescent="0.2">
      <c r="A13" s="24"/>
      <c r="B13" s="9"/>
      <c r="C13" s="9"/>
      <c r="D13" s="104"/>
      <c r="E13" s="104"/>
      <c r="F13" s="104"/>
      <c r="G13" s="103">
        <f t="shared" si="0"/>
        <v>3600</v>
      </c>
      <c r="I13" s="9"/>
      <c r="J13" s="9"/>
      <c r="K13" s="9"/>
      <c r="L13" s="104"/>
      <c r="M13" s="104"/>
      <c r="N13" s="104"/>
      <c r="O13" s="103">
        <f t="shared" si="1"/>
        <v>1225</v>
      </c>
    </row>
    <row r="14" spans="1:15" x14ac:dyDescent="0.2">
      <c r="A14" s="24"/>
      <c r="B14" s="9"/>
      <c r="C14" s="63"/>
      <c r="D14" s="104"/>
      <c r="E14" s="104"/>
      <c r="F14" s="104"/>
      <c r="G14" s="103">
        <f t="shared" si="0"/>
        <v>3600</v>
      </c>
      <c r="I14" s="9"/>
      <c r="J14" s="9"/>
      <c r="K14" s="9"/>
      <c r="L14" s="104"/>
      <c r="M14" s="104"/>
      <c r="N14" s="104"/>
      <c r="O14" s="103">
        <f t="shared" si="1"/>
        <v>1225</v>
      </c>
    </row>
    <row r="15" spans="1:15" x14ac:dyDescent="0.2">
      <c r="A15" s="9"/>
      <c r="B15" s="9"/>
      <c r="C15" s="9"/>
      <c r="D15" s="104"/>
      <c r="E15" s="104"/>
      <c r="F15" s="104"/>
      <c r="G15" s="103">
        <f t="shared" si="0"/>
        <v>3600</v>
      </c>
      <c r="I15" s="9"/>
      <c r="J15" s="9"/>
      <c r="K15" s="9"/>
      <c r="L15" s="104"/>
      <c r="M15" s="104"/>
      <c r="N15" s="104"/>
      <c r="O15" s="103">
        <f t="shared" si="1"/>
        <v>1225</v>
      </c>
    </row>
    <row r="16" spans="1:15" x14ac:dyDescent="0.2">
      <c r="A16" s="9"/>
      <c r="B16" s="9"/>
      <c r="C16" s="9"/>
      <c r="D16" s="104"/>
      <c r="E16" s="104"/>
      <c r="F16" s="104"/>
      <c r="G16" s="103">
        <f t="shared" si="0"/>
        <v>3600</v>
      </c>
      <c r="I16" s="9"/>
      <c r="J16" s="9"/>
      <c r="K16" s="9"/>
      <c r="L16" s="104"/>
      <c r="M16" s="104"/>
      <c r="N16" s="104"/>
      <c r="O16" s="103">
        <f t="shared" si="1"/>
        <v>1225</v>
      </c>
    </row>
    <row r="17" spans="1:15" x14ac:dyDescent="0.2">
      <c r="A17" s="9"/>
      <c r="B17" s="9"/>
      <c r="C17" s="9"/>
      <c r="D17" s="104"/>
      <c r="E17" s="104"/>
      <c r="F17" s="104"/>
      <c r="G17" s="103">
        <f t="shared" si="0"/>
        <v>3600</v>
      </c>
      <c r="I17" s="9"/>
      <c r="J17" s="9"/>
      <c r="K17" s="9"/>
      <c r="L17" s="104"/>
      <c r="M17" s="104"/>
      <c r="N17" s="104"/>
      <c r="O17" s="103">
        <f t="shared" si="1"/>
        <v>1225</v>
      </c>
    </row>
    <row r="18" spans="1:15" x14ac:dyDescent="0.2">
      <c r="A18" s="9"/>
      <c r="B18" s="9"/>
      <c r="C18" s="9"/>
      <c r="D18" s="104"/>
      <c r="E18" s="104"/>
      <c r="F18" s="104"/>
      <c r="G18" s="103">
        <f t="shared" si="0"/>
        <v>3600</v>
      </c>
      <c r="I18" s="9"/>
      <c r="J18" s="9"/>
      <c r="K18" s="9"/>
      <c r="L18" s="104"/>
      <c r="M18" s="104"/>
      <c r="N18" s="104"/>
      <c r="O18" s="103">
        <f t="shared" si="1"/>
        <v>1225</v>
      </c>
    </row>
    <row r="19" spans="1:15" x14ac:dyDescent="0.2">
      <c r="A19" s="9"/>
      <c r="B19" s="9"/>
      <c r="C19" s="9"/>
      <c r="D19" s="104"/>
      <c r="E19" s="104"/>
      <c r="F19" s="104"/>
      <c r="G19" s="103">
        <f t="shared" si="0"/>
        <v>3600</v>
      </c>
      <c r="I19" s="9"/>
      <c r="J19" s="9"/>
      <c r="K19" s="9"/>
      <c r="L19" s="104"/>
      <c r="M19" s="104"/>
      <c r="N19" s="104"/>
      <c r="O19" s="103">
        <f t="shared" si="1"/>
        <v>1225</v>
      </c>
    </row>
    <row r="20" spans="1:15" x14ac:dyDescent="0.2">
      <c r="A20" s="9"/>
      <c r="B20" s="9"/>
      <c r="C20" s="9"/>
      <c r="D20" s="104"/>
      <c r="E20" s="104"/>
      <c r="F20" s="104"/>
      <c r="G20" s="103">
        <f t="shared" si="0"/>
        <v>3600</v>
      </c>
      <c r="I20" s="9"/>
      <c r="J20" s="9"/>
      <c r="K20" s="9"/>
      <c r="L20" s="104"/>
      <c r="M20" s="104"/>
      <c r="N20" s="104"/>
      <c r="O20" s="103">
        <f t="shared" si="1"/>
        <v>1225</v>
      </c>
    </row>
    <row r="21" spans="1:15" x14ac:dyDescent="0.2">
      <c r="A21" s="9"/>
      <c r="B21" s="9"/>
      <c r="C21" s="9"/>
      <c r="D21" s="104"/>
      <c r="E21" s="104"/>
      <c r="F21" s="104"/>
      <c r="G21" s="103">
        <f t="shared" si="0"/>
        <v>3600</v>
      </c>
      <c r="I21" s="9"/>
      <c r="J21" s="9"/>
      <c r="K21" s="9"/>
      <c r="L21" s="104"/>
      <c r="M21" s="104"/>
      <c r="N21" s="104"/>
      <c r="O21" s="103">
        <f t="shared" si="1"/>
        <v>1225</v>
      </c>
    </row>
    <row r="22" spans="1:15" x14ac:dyDescent="0.2">
      <c r="A22" s="9"/>
      <c r="B22" s="9"/>
      <c r="C22" s="9"/>
      <c r="D22" s="104"/>
      <c r="E22" s="104"/>
      <c r="F22" s="104"/>
      <c r="G22" s="103">
        <f t="shared" si="0"/>
        <v>3600</v>
      </c>
      <c r="I22" s="9"/>
      <c r="J22" s="9"/>
      <c r="K22" s="9"/>
      <c r="L22" s="104"/>
      <c r="M22" s="104"/>
      <c r="N22" s="104"/>
      <c r="O22" s="103">
        <f t="shared" si="1"/>
        <v>1225</v>
      </c>
    </row>
    <row r="23" spans="1:15" x14ac:dyDescent="0.2">
      <c r="A23" s="9"/>
      <c r="B23" s="9"/>
      <c r="C23" s="9"/>
      <c r="D23" s="104"/>
      <c r="E23" s="104"/>
      <c r="F23" s="104"/>
      <c r="G23" s="103">
        <f t="shared" si="0"/>
        <v>3600</v>
      </c>
      <c r="I23" s="9"/>
      <c r="J23" s="9"/>
      <c r="K23" s="9"/>
      <c r="L23" s="104"/>
      <c r="M23" s="104"/>
      <c r="N23" s="104"/>
      <c r="O23" s="103">
        <f t="shared" si="1"/>
        <v>1225</v>
      </c>
    </row>
    <row r="24" spans="1:15" x14ac:dyDescent="0.2">
      <c r="A24" s="9"/>
      <c r="B24" s="9"/>
      <c r="C24" s="9"/>
      <c r="D24" s="104"/>
      <c r="E24" s="104"/>
      <c r="F24" s="104"/>
      <c r="G24" s="103">
        <f t="shared" si="0"/>
        <v>3600</v>
      </c>
      <c r="I24" s="9"/>
      <c r="J24" s="9"/>
      <c r="K24" s="9"/>
      <c r="L24" s="104"/>
      <c r="M24" s="104"/>
      <c r="N24" s="104"/>
      <c r="O24" s="103">
        <f t="shared" si="1"/>
        <v>1225</v>
      </c>
    </row>
    <row r="25" spans="1:15" x14ac:dyDescent="0.2">
      <c r="A25" s="9"/>
      <c r="B25" s="9"/>
      <c r="C25" s="9"/>
      <c r="D25" s="104"/>
      <c r="E25" s="104"/>
      <c r="F25" s="104"/>
      <c r="G25" s="103">
        <f t="shared" si="0"/>
        <v>3600</v>
      </c>
      <c r="I25" s="9"/>
      <c r="J25" s="9"/>
      <c r="K25" s="9"/>
      <c r="L25" s="104"/>
      <c r="M25" s="104"/>
      <c r="N25" s="104"/>
      <c r="O25" s="103">
        <f t="shared" si="1"/>
        <v>1225</v>
      </c>
    </row>
    <row r="26" spans="1:15" x14ac:dyDescent="0.2">
      <c r="A26" s="9"/>
      <c r="B26" s="9"/>
      <c r="C26" s="9"/>
      <c r="D26" s="104"/>
      <c r="E26" s="104"/>
      <c r="F26" s="104"/>
      <c r="G26" s="103">
        <f t="shared" si="0"/>
        <v>3600</v>
      </c>
      <c r="I26" s="9"/>
      <c r="J26" s="9"/>
      <c r="K26" s="9"/>
      <c r="L26" s="104"/>
      <c r="M26" s="104"/>
      <c r="N26" s="104"/>
      <c r="O26" s="103">
        <f t="shared" si="1"/>
        <v>1225</v>
      </c>
    </row>
    <row r="27" spans="1:15" x14ac:dyDescent="0.2">
      <c r="A27" s="9"/>
      <c r="B27" s="9"/>
      <c r="C27" s="9"/>
      <c r="D27" s="104"/>
      <c r="E27" s="104"/>
      <c r="F27" s="104"/>
      <c r="G27" s="103">
        <f t="shared" si="0"/>
        <v>3600</v>
      </c>
      <c r="I27" s="9"/>
      <c r="J27" s="9"/>
      <c r="K27" s="9"/>
      <c r="L27" s="104"/>
      <c r="M27" s="104"/>
      <c r="N27" s="104"/>
      <c r="O27" s="103">
        <f t="shared" si="1"/>
        <v>1225</v>
      </c>
    </row>
    <row r="28" spans="1:15" x14ac:dyDescent="0.2">
      <c r="A28" s="9"/>
      <c r="B28" s="9"/>
      <c r="C28" s="9"/>
      <c r="D28" s="104"/>
      <c r="E28" s="104"/>
      <c r="F28" s="104"/>
      <c r="G28" s="103">
        <f t="shared" si="0"/>
        <v>3600</v>
      </c>
      <c r="I28" s="9"/>
      <c r="J28" s="9"/>
      <c r="K28" s="9"/>
      <c r="L28" s="104"/>
      <c r="M28" s="104"/>
      <c r="N28" s="104"/>
      <c r="O28" s="103">
        <f t="shared" si="1"/>
        <v>1225</v>
      </c>
    </row>
    <row r="29" spans="1:15" ht="13.5" thickBot="1" x14ac:dyDescent="0.25">
      <c r="A29" s="37"/>
      <c r="B29" s="37"/>
      <c r="C29" s="37"/>
      <c r="D29" s="106"/>
      <c r="E29" s="106"/>
      <c r="F29" s="106"/>
      <c r="G29" s="103">
        <f t="shared" si="0"/>
        <v>3600</v>
      </c>
      <c r="I29" s="37"/>
      <c r="J29" s="37"/>
      <c r="K29" s="37"/>
      <c r="L29" s="106"/>
      <c r="M29" s="106"/>
      <c r="N29" s="106"/>
      <c r="O29" s="103">
        <f t="shared" si="1"/>
        <v>1225</v>
      </c>
    </row>
    <row r="30" spans="1:15" ht="13.5" thickTop="1" x14ac:dyDescent="0.2">
      <c r="A30" s="40"/>
      <c r="B30" s="41"/>
      <c r="C30" s="41"/>
      <c r="D30" s="99"/>
      <c r="E30" s="99"/>
      <c r="F30" s="99"/>
      <c r="G30" s="100"/>
      <c r="I30" s="40"/>
      <c r="J30" s="41"/>
      <c r="K30" s="41"/>
      <c r="L30" s="99"/>
      <c r="M30" s="99"/>
      <c r="N30" s="99"/>
      <c r="O30" s="100"/>
    </row>
    <row r="31" spans="1:15" ht="13.5" thickBot="1" x14ac:dyDescent="0.25">
      <c r="A31" s="42" t="s">
        <v>3</v>
      </c>
      <c r="B31" s="43"/>
      <c r="C31" s="43"/>
      <c r="D31" s="76"/>
      <c r="E31" s="107"/>
      <c r="F31" s="107"/>
      <c r="G31" s="211">
        <f>G29</f>
        <v>3600</v>
      </c>
      <c r="I31" s="42" t="s">
        <v>3</v>
      </c>
      <c r="J31" s="43"/>
      <c r="K31" s="43"/>
      <c r="L31" s="76"/>
      <c r="M31" s="107"/>
      <c r="N31" s="107"/>
      <c r="O31" s="211">
        <f>O29</f>
        <v>1225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1A00-000000000000}"/>
  </hyperlinks>
  <pageMargins left="0.75" right="0.75" top="1" bottom="1" header="0.5" footer="0.5"/>
  <pageSetup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4"/>
  <dimension ref="A1:O28"/>
  <sheetViews>
    <sheetView zoomScaleNormal="100" workbookViewId="0">
      <selection activeCell="H1" sqref="H1"/>
    </sheetView>
  </sheetViews>
  <sheetFormatPr defaultRowHeight="12.75" x14ac:dyDescent="0.2"/>
  <cols>
    <col min="1" max="1" width="11.85546875" bestFit="1" customWidth="1"/>
    <col min="2" max="2" width="11.5703125" bestFit="1" customWidth="1"/>
    <col min="3" max="3" width="24.28515625" bestFit="1" customWidth="1"/>
    <col min="4" max="4" width="14" bestFit="1" customWidth="1"/>
    <col min="5" max="5" width="5.42578125" bestFit="1" customWidth="1"/>
    <col min="6" max="6" width="12" bestFit="1" customWidth="1"/>
    <col min="7" max="7" width="12.140625" customWidth="1"/>
    <col min="9" max="9" width="11.85546875" bestFit="1" customWidth="1"/>
    <col min="10" max="10" width="11.5703125" bestFit="1" customWidth="1"/>
    <col min="11" max="11" width="24.28515625" bestFit="1" customWidth="1"/>
    <col min="12" max="12" width="14" bestFit="1" customWidth="1"/>
    <col min="13" max="13" width="5.42578125" bestFit="1" customWidth="1"/>
    <col min="14" max="14" width="12" bestFit="1" customWidth="1"/>
    <col min="15" max="15" width="12.1406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53</v>
      </c>
      <c r="B4" s="363"/>
      <c r="C4" s="363"/>
      <c r="D4" s="363"/>
      <c r="E4" s="363"/>
      <c r="F4" s="363"/>
      <c r="G4" s="364"/>
      <c r="I4" s="362" t="s">
        <v>53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9.2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G8" s="249">
        <v>2061.54</v>
      </c>
      <c r="I8" s="14"/>
      <c r="J8" s="9"/>
      <c r="K8" s="9" t="s">
        <v>74</v>
      </c>
      <c r="L8" s="15"/>
      <c r="M8" s="15"/>
      <c r="N8" s="52"/>
      <c r="O8" s="249">
        <v>806</v>
      </c>
    </row>
    <row r="9" spans="1:15" ht="25.5" x14ac:dyDescent="0.2">
      <c r="A9" s="14">
        <v>43019</v>
      </c>
      <c r="B9" s="9" t="s">
        <v>105</v>
      </c>
      <c r="C9" s="310" t="s">
        <v>124</v>
      </c>
      <c r="D9" s="15"/>
      <c r="E9" s="15"/>
      <c r="F9" s="52">
        <v>953.72</v>
      </c>
      <c r="G9" s="22">
        <f>SUM(G8+D9-E9-F9)</f>
        <v>1107.82</v>
      </c>
      <c r="I9" s="14"/>
      <c r="J9" s="58"/>
      <c r="K9" s="63"/>
      <c r="L9" s="15"/>
      <c r="M9" s="15"/>
      <c r="N9" s="52"/>
      <c r="O9" s="22">
        <f>SUM(O8+L9-M9-N9)</f>
        <v>806</v>
      </c>
    </row>
    <row r="10" spans="1:15" ht="25.5" x14ac:dyDescent="0.2">
      <c r="A10" s="14">
        <v>43010</v>
      </c>
      <c r="B10" s="63" t="s">
        <v>143</v>
      </c>
      <c r="C10" s="310" t="s">
        <v>144</v>
      </c>
      <c r="D10" s="15"/>
      <c r="E10" s="15"/>
      <c r="F10" s="52">
        <v>126</v>
      </c>
      <c r="G10" s="22">
        <f t="shared" ref="G10:G11" si="0">SUM(G9+D10-E10-F10)</f>
        <v>981.81999999999994</v>
      </c>
      <c r="I10" s="14"/>
      <c r="J10" s="58"/>
      <c r="K10" s="63"/>
      <c r="L10" s="15"/>
      <c r="M10" s="15"/>
      <c r="N10" s="52"/>
      <c r="O10" s="22">
        <f t="shared" ref="O10:O26" si="1">SUM(O9+L10-M10-N10)</f>
        <v>806</v>
      </c>
    </row>
    <row r="11" spans="1:15" x14ac:dyDescent="0.2">
      <c r="A11" s="14">
        <v>43047</v>
      </c>
      <c r="B11" s="63" t="s">
        <v>105</v>
      </c>
      <c r="C11" s="63" t="s">
        <v>187</v>
      </c>
      <c r="D11" s="15"/>
      <c r="E11" s="15"/>
      <c r="F11" s="52">
        <v>540.11</v>
      </c>
      <c r="G11" s="22">
        <f t="shared" si="0"/>
        <v>441.70999999999992</v>
      </c>
      <c r="I11" s="14"/>
      <c r="J11" s="9"/>
      <c r="K11" s="63"/>
      <c r="L11" s="15"/>
      <c r="M11" s="15"/>
      <c r="N11" s="52"/>
      <c r="O11" s="22">
        <f t="shared" si="1"/>
        <v>806</v>
      </c>
    </row>
    <row r="12" spans="1:15" x14ac:dyDescent="0.2">
      <c r="A12" s="14"/>
      <c r="B12" s="9"/>
      <c r="C12" s="63"/>
      <c r="D12" s="15"/>
      <c r="E12" s="15"/>
      <c r="F12" s="52"/>
      <c r="G12" s="22">
        <f t="shared" ref="G12:G18" si="2">SUM(G11+D12-E12-F12)</f>
        <v>441.70999999999992</v>
      </c>
      <c r="I12" s="14"/>
      <c r="J12" s="9"/>
      <c r="K12" s="63"/>
      <c r="L12" s="15"/>
      <c r="M12" s="15"/>
      <c r="N12" s="52"/>
      <c r="O12" s="22">
        <f t="shared" si="1"/>
        <v>806</v>
      </c>
    </row>
    <row r="13" spans="1:15" x14ac:dyDescent="0.2">
      <c r="A13" s="14"/>
      <c r="B13" s="58"/>
      <c r="C13" s="63"/>
      <c r="D13" s="15"/>
      <c r="E13" s="15"/>
      <c r="F13" s="52"/>
      <c r="G13" s="22">
        <f t="shared" si="2"/>
        <v>441.70999999999992</v>
      </c>
      <c r="I13" s="14"/>
      <c r="J13" s="58"/>
      <c r="K13" s="63"/>
      <c r="L13" s="15"/>
      <c r="M13" s="15"/>
      <c r="N13" s="52"/>
      <c r="O13" s="22">
        <f t="shared" si="1"/>
        <v>806</v>
      </c>
    </row>
    <row r="14" spans="1:15" x14ac:dyDescent="0.2">
      <c r="A14" s="14"/>
      <c r="B14" s="58"/>
      <c r="C14" s="63"/>
      <c r="D14" s="15"/>
      <c r="E14" s="15"/>
      <c r="F14" s="52"/>
      <c r="G14" s="22">
        <f t="shared" si="2"/>
        <v>441.70999999999992</v>
      </c>
      <c r="I14" s="14"/>
      <c r="J14" s="27"/>
      <c r="K14" s="27"/>
      <c r="L14" s="10"/>
      <c r="M14" s="27"/>
      <c r="N14" s="10"/>
      <c r="O14" s="22">
        <f t="shared" si="1"/>
        <v>806</v>
      </c>
    </row>
    <row r="15" spans="1:15" x14ac:dyDescent="0.2">
      <c r="A15" s="14"/>
      <c r="B15" s="9"/>
      <c r="C15" s="63"/>
      <c r="D15" s="15"/>
      <c r="E15" s="15"/>
      <c r="F15" s="52"/>
      <c r="G15" s="22">
        <f t="shared" si="2"/>
        <v>441.70999999999992</v>
      </c>
      <c r="I15" s="14"/>
      <c r="J15" s="9"/>
      <c r="K15" s="63"/>
      <c r="L15" s="15"/>
      <c r="M15" s="15"/>
      <c r="N15" s="52"/>
      <c r="O15" s="22">
        <f t="shared" si="1"/>
        <v>806</v>
      </c>
    </row>
    <row r="16" spans="1:15" x14ac:dyDescent="0.2">
      <c r="A16" s="14"/>
      <c r="B16" s="9"/>
      <c r="C16" s="63"/>
      <c r="D16" s="15"/>
      <c r="E16" s="15"/>
      <c r="F16" s="52"/>
      <c r="G16" s="22">
        <f t="shared" si="2"/>
        <v>441.70999999999992</v>
      </c>
      <c r="I16" s="14"/>
      <c r="J16" s="9"/>
      <c r="K16" s="63"/>
      <c r="L16" s="15"/>
      <c r="M16" s="15"/>
      <c r="N16" s="52"/>
      <c r="O16" s="22">
        <f t="shared" si="1"/>
        <v>806</v>
      </c>
    </row>
    <row r="17" spans="1:15" x14ac:dyDescent="0.2">
      <c r="A17" s="14"/>
      <c r="B17" s="58"/>
      <c r="C17" s="63"/>
      <c r="D17" s="15"/>
      <c r="E17" s="15"/>
      <c r="F17" s="52"/>
      <c r="G17" s="22">
        <f t="shared" si="2"/>
        <v>441.70999999999992</v>
      </c>
      <c r="I17" s="14"/>
      <c r="J17" s="58"/>
      <c r="K17" s="63"/>
      <c r="L17" s="15"/>
      <c r="M17" s="15"/>
      <c r="N17" s="52"/>
      <c r="O17" s="22">
        <f t="shared" si="1"/>
        <v>806</v>
      </c>
    </row>
    <row r="18" spans="1:15" x14ac:dyDescent="0.2">
      <c r="A18" s="50"/>
      <c r="B18" s="27"/>
      <c r="C18" s="27"/>
      <c r="D18" s="10"/>
      <c r="E18" s="27"/>
      <c r="F18" s="10"/>
      <c r="G18" s="22">
        <f t="shared" si="2"/>
        <v>441.70999999999992</v>
      </c>
      <c r="I18" s="14"/>
      <c r="J18" s="27"/>
      <c r="K18" s="27"/>
      <c r="L18" s="10"/>
      <c r="M18" s="27"/>
      <c r="N18" s="10"/>
      <c r="O18" s="22">
        <f t="shared" si="1"/>
        <v>806</v>
      </c>
    </row>
    <row r="19" spans="1:15" x14ac:dyDescent="0.2">
      <c r="A19" s="50"/>
      <c r="B19" s="27"/>
      <c r="C19" s="27"/>
      <c r="D19" s="27"/>
      <c r="E19" s="27"/>
      <c r="F19" s="10"/>
      <c r="G19" s="30">
        <f t="shared" ref="G19:G26" si="3">SUM(G18+D19-E19-F19)</f>
        <v>441.70999999999992</v>
      </c>
      <c r="I19" s="14"/>
      <c r="J19" s="27"/>
      <c r="K19" s="27"/>
      <c r="L19" s="27"/>
      <c r="M19" s="27"/>
      <c r="N19" s="10"/>
      <c r="O19" s="30">
        <f t="shared" si="1"/>
        <v>806</v>
      </c>
    </row>
    <row r="20" spans="1:15" x14ac:dyDescent="0.2">
      <c r="A20" s="50"/>
      <c r="B20" s="27"/>
      <c r="C20" s="27"/>
      <c r="D20" s="27"/>
      <c r="E20" s="27"/>
      <c r="F20" s="10"/>
      <c r="G20" s="30">
        <f t="shared" si="3"/>
        <v>441.70999999999992</v>
      </c>
      <c r="I20" s="14"/>
      <c r="J20" s="27"/>
      <c r="K20" s="27"/>
      <c r="L20" s="27"/>
      <c r="M20" s="27"/>
      <c r="N20" s="10"/>
      <c r="O20" s="30">
        <f t="shared" si="1"/>
        <v>806</v>
      </c>
    </row>
    <row r="21" spans="1:15" x14ac:dyDescent="0.2">
      <c r="A21" s="50"/>
      <c r="B21" s="27"/>
      <c r="C21" s="27"/>
      <c r="D21" s="27"/>
      <c r="E21" s="27"/>
      <c r="F21" s="10"/>
      <c r="G21" s="30">
        <f t="shared" si="3"/>
        <v>441.70999999999992</v>
      </c>
      <c r="I21" s="14"/>
      <c r="J21" s="27"/>
      <c r="K21" s="27"/>
      <c r="L21" s="27"/>
      <c r="M21" s="27"/>
      <c r="N21" s="10"/>
      <c r="O21" s="30">
        <f t="shared" si="1"/>
        <v>806</v>
      </c>
    </row>
    <row r="22" spans="1:15" x14ac:dyDescent="0.2">
      <c r="A22" s="50"/>
      <c r="B22" s="27"/>
      <c r="C22" s="27"/>
      <c r="D22" s="27"/>
      <c r="E22" s="27"/>
      <c r="F22" s="10"/>
      <c r="G22" s="30">
        <f t="shared" si="3"/>
        <v>441.70999999999992</v>
      </c>
      <c r="I22" s="14"/>
      <c r="J22" s="27"/>
      <c r="K22" s="27"/>
      <c r="L22" s="27"/>
      <c r="M22" s="27"/>
      <c r="N22" s="10"/>
      <c r="O22" s="30">
        <f t="shared" si="1"/>
        <v>806</v>
      </c>
    </row>
    <row r="23" spans="1:15" x14ac:dyDescent="0.2">
      <c r="A23" s="50"/>
      <c r="B23" s="27"/>
      <c r="C23" s="27"/>
      <c r="D23" s="27"/>
      <c r="E23" s="27"/>
      <c r="F23" s="10"/>
      <c r="G23" s="30">
        <f t="shared" si="3"/>
        <v>441.70999999999992</v>
      </c>
      <c r="I23" s="14"/>
      <c r="J23" s="27"/>
      <c r="K23" s="27"/>
      <c r="L23" s="27"/>
      <c r="M23" s="27"/>
      <c r="N23" s="10"/>
      <c r="O23" s="30">
        <f t="shared" si="1"/>
        <v>806</v>
      </c>
    </row>
    <row r="24" spans="1:15" x14ac:dyDescent="0.2">
      <c r="A24" s="50"/>
      <c r="B24" s="27"/>
      <c r="C24" s="27"/>
      <c r="D24" s="10"/>
      <c r="E24" s="27"/>
      <c r="F24" s="10"/>
      <c r="G24" s="30">
        <f t="shared" si="3"/>
        <v>441.70999999999992</v>
      </c>
      <c r="I24" s="14"/>
      <c r="J24" s="27"/>
      <c r="K24" s="27"/>
      <c r="L24" s="10"/>
      <c r="M24" s="27"/>
      <c r="N24" s="10"/>
      <c r="O24" s="30">
        <f t="shared" si="1"/>
        <v>806</v>
      </c>
    </row>
    <row r="25" spans="1:15" x14ac:dyDescent="0.2">
      <c r="A25" s="50"/>
      <c r="B25" s="27"/>
      <c r="C25" s="27"/>
      <c r="D25" s="27"/>
      <c r="E25" s="27"/>
      <c r="F25" s="10"/>
      <c r="G25" s="30">
        <f t="shared" si="3"/>
        <v>441.70999999999992</v>
      </c>
      <c r="I25" s="14"/>
      <c r="J25" s="27"/>
      <c r="K25" s="27"/>
      <c r="L25" s="27"/>
      <c r="M25" s="27"/>
      <c r="N25" s="10"/>
      <c r="O25" s="30">
        <f t="shared" si="1"/>
        <v>806</v>
      </c>
    </row>
    <row r="26" spans="1:15" ht="13.5" thickBot="1" x14ac:dyDescent="0.25">
      <c r="A26" s="71"/>
      <c r="B26" s="32"/>
      <c r="C26" s="32"/>
      <c r="D26" s="32"/>
      <c r="E26" s="32"/>
      <c r="F26" s="33"/>
      <c r="G26" s="31">
        <f t="shared" si="3"/>
        <v>441.70999999999992</v>
      </c>
      <c r="I26" s="14"/>
      <c r="J26" s="32"/>
      <c r="K26" s="32"/>
      <c r="L26" s="32"/>
      <c r="M26" s="32"/>
      <c r="N26" s="33"/>
      <c r="O26" s="31">
        <f t="shared" si="1"/>
        <v>806</v>
      </c>
    </row>
    <row r="27" spans="1:15" ht="13.5" thickTop="1" x14ac:dyDescent="0.2">
      <c r="A27" s="3"/>
      <c r="B27" s="4"/>
      <c r="C27" s="4"/>
      <c r="D27" s="5"/>
      <c r="E27" s="5"/>
      <c r="F27" s="5"/>
      <c r="G27" s="18"/>
      <c r="I27" s="3"/>
      <c r="J27" s="4"/>
      <c r="K27" s="4"/>
      <c r="L27" s="5"/>
      <c r="M27" s="5"/>
      <c r="N27" s="5"/>
      <c r="O27" s="18"/>
    </row>
    <row r="28" spans="1:15" ht="13.5" thickBot="1" x14ac:dyDescent="0.25">
      <c r="A28" s="8" t="s">
        <v>3</v>
      </c>
      <c r="B28" s="6"/>
      <c r="C28" s="6"/>
      <c r="D28" s="13"/>
      <c r="E28" s="7"/>
      <c r="F28" s="7"/>
      <c r="G28" s="212">
        <f>G26</f>
        <v>441.70999999999992</v>
      </c>
      <c r="I28" s="8" t="s">
        <v>3</v>
      </c>
      <c r="J28" s="6"/>
      <c r="K28" s="6"/>
      <c r="L28" s="13"/>
      <c r="M28" s="7"/>
      <c r="N28" s="7"/>
      <c r="O28" s="212">
        <f>O26</f>
        <v>806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1B00-000000000000}"/>
  </hyperlinks>
  <pageMargins left="0.75" right="0.75" top="1" bottom="1" header="0.5" footer="0.5"/>
  <pageSetup scale="9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/>
  <dimension ref="A1:O30"/>
  <sheetViews>
    <sheetView topLeftCell="C1" zoomScaleNormal="100" workbookViewId="0">
      <selection activeCell="I16" sqref="I16"/>
    </sheetView>
  </sheetViews>
  <sheetFormatPr defaultRowHeight="12.75" x14ac:dyDescent="0.2"/>
  <cols>
    <col min="1" max="1" width="11.42578125" customWidth="1"/>
    <col min="2" max="2" width="12.140625" style="261" customWidth="1"/>
    <col min="3" max="3" width="26.42578125" bestFit="1" customWidth="1"/>
    <col min="4" max="4" width="12" bestFit="1" customWidth="1"/>
    <col min="5" max="5" width="6" bestFit="1" customWidth="1"/>
    <col min="6" max="6" width="12" bestFit="1" customWidth="1"/>
    <col min="7" max="7" width="12.7109375" bestFit="1" customWidth="1"/>
    <col min="9" max="9" width="13.5703125" style="343" customWidth="1"/>
    <col min="10" max="10" width="12.140625" customWidth="1"/>
    <col min="11" max="11" width="26.42578125" bestFit="1" customWidth="1"/>
    <col min="12" max="12" width="12" bestFit="1" customWidth="1"/>
    <col min="13" max="13" width="6" bestFit="1" customWidth="1"/>
    <col min="14" max="14" width="12" bestFit="1" customWidth="1"/>
    <col min="15" max="15" width="12.710937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54</v>
      </c>
      <c r="B4" s="363"/>
      <c r="C4" s="363"/>
      <c r="D4" s="363"/>
      <c r="E4" s="363"/>
      <c r="F4" s="363"/>
      <c r="G4" s="364"/>
      <c r="I4" s="362" t="s">
        <v>54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.7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7</v>
      </c>
      <c r="F7" s="224" t="s">
        <v>5</v>
      </c>
      <c r="G7" s="225" t="s">
        <v>6</v>
      </c>
      <c r="I7" s="337" t="s">
        <v>1</v>
      </c>
      <c r="J7" s="221" t="s">
        <v>12</v>
      </c>
      <c r="K7" s="223" t="s">
        <v>0</v>
      </c>
      <c r="L7" s="224" t="s">
        <v>2</v>
      </c>
      <c r="M7" s="224" t="s">
        <v>7</v>
      </c>
      <c r="N7" s="224" t="s">
        <v>5</v>
      </c>
      <c r="O7" s="225" t="s">
        <v>6</v>
      </c>
    </row>
    <row r="8" spans="1:15" ht="12.75" customHeight="1" x14ac:dyDescent="0.2">
      <c r="A8" s="247"/>
      <c r="B8" s="238"/>
      <c r="C8" s="238" t="s">
        <v>70</v>
      </c>
      <c r="D8" s="248"/>
      <c r="E8" s="248"/>
      <c r="F8" s="248"/>
      <c r="G8" s="249">
        <v>840.53</v>
      </c>
      <c r="I8" s="315"/>
      <c r="J8" s="242"/>
      <c r="K8" s="25" t="s">
        <v>74</v>
      </c>
      <c r="L8" s="19"/>
      <c r="M8" s="19"/>
      <c r="N8" s="20"/>
      <c r="O8" s="249">
        <v>2199.2600000000002</v>
      </c>
    </row>
    <row r="9" spans="1:15" ht="25.5" x14ac:dyDescent="0.2">
      <c r="A9" s="62">
        <v>43011</v>
      </c>
      <c r="B9" s="263" t="s">
        <v>105</v>
      </c>
      <c r="C9" s="9" t="s">
        <v>104</v>
      </c>
      <c r="D9" s="15"/>
      <c r="E9" s="15"/>
      <c r="F9" s="52">
        <v>28.64</v>
      </c>
      <c r="G9" s="22">
        <f>SUM(G8+D9-E9-F9)</f>
        <v>811.89</v>
      </c>
      <c r="I9" s="315">
        <v>43124</v>
      </c>
      <c r="J9" s="242" t="s">
        <v>105</v>
      </c>
      <c r="K9" s="334" t="s">
        <v>221</v>
      </c>
      <c r="L9" s="19"/>
      <c r="M9" s="19"/>
      <c r="N9" s="20">
        <v>144.82</v>
      </c>
      <c r="O9" s="22">
        <f>SUM(O8+L9-M9-N9)</f>
        <v>2054.44</v>
      </c>
    </row>
    <row r="10" spans="1:15" x14ac:dyDescent="0.2">
      <c r="A10" s="322">
        <v>43019</v>
      </c>
      <c r="B10" s="323" t="s">
        <v>105</v>
      </c>
      <c r="C10" s="336" t="s">
        <v>115</v>
      </c>
      <c r="D10" s="72"/>
      <c r="E10" s="72"/>
      <c r="F10" s="73">
        <v>83.68</v>
      </c>
      <c r="G10" s="22">
        <f t="shared" ref="G10:G28" si="0">SUM(G9+D10-E10-F10)</f>
        <v>728.21</v>
      </c>
      <c r="I10" s="315">
        <v>43131</v>
      </c>
      <c r="J10" s="285" t="s">
        <v>105</v>
      </c>
      <c r="K10" s="233" t="s">
        <v>224</v>
      </c>
      <c r="L10" s="19"/>
      <c r="M10" s="19"/>
      <c r="N10" s="20">
        <v>228</v>
      </c>
      <c r="O10" s="22">
        <f t="shared" ref="O10:O28" si="1">SUM(O9+L10-M10-N10)</f>
        <v>1826.44</v>
      </c>
    </row>
    <row r="11" spans="1:15" ht="12.75" customHeight="1" x14ac:dyDescent="0.2">
      <c r="A11" s="262">
        <v>43032</v>
      </c>
      <c r="B11" s="213" t="s">
        <v>154</v>
      </c>
      <c r="C11" s="63" t="s">
        <v>155</v>
      </c>
      <c r="D11" s="19"/>
      <c r="E11" s="19"/>
      <c r="F11" s="20">
        <v>700</v>
      </c>
      <c r="G11" s="22">
        <f t="shared" si="0"/>
        <v>28.210000000000036</v>
      </c>
      <c r="I11" s="315">
        <v>43151</v>
      </c>
      <c r="J11" s="285" t="s">
        <v>238</v>
      </c>
      <c r="K11" s="233" t="s">
        <v>240</v>
      </c>
      <c r="L11" s="19"/>
      <c r="M11" s="19"/>
      <c r="N11" s="20">
        <f>970.5-145.58</f>
        <v>824.92</v>
      </c>
      <c r="O11" s="22">
        <f t="shared" si="1"/>
        <v>1001.5200000000001</v>
      </c>
    </row>
    <row r="12" spans="1:15" ht="12.75" customHeight="1" x14ac:dyDescent="0.2">
      <c r="A12" s="243"/>
      <c r="B12" s="242"/>
      <c r="C12" s="233"/>
      <c r="D12" s="19"/>
      <c r="E12" s="19"/>
      <c r="F12" s="20">
        <v>0</v>
      </c>
      <c r="G12" s="22">
        <f>SUM(G11+D12-E12-F12)</f>
        <v>28.210000000000036</v>
      </c>
      <c r="I12" s="338">
        <v>43161</v>
      </c>
      <c r="J12" s="257" t="s">
        <v>239</v>
      </c>
      <c r="K12" s="63" t="s">
        <v>320</v>
      </c>
      <c r="L12" s="15"/>
      <c r="M12" s="10"/>
      <c r="N12" s="21">
        <f>127.5-19.12</f>
        <v>108.38</v>
      </c>
      <c r="O12" s="22">
        <f t="shared" si="1"/>
        <v>893.1400000000001</v>
      </c>
    </row>
    <row r="13" spans="1:15" ht="12.75" customHeight="1" x14ac:dyDescent="0.2">
      <c r="A13" s="243"/>
      <c r="B13" s="242"/>
      <c r="C13" s="25"/>
      <c r="D13" s="19"/>
      <c r="E13" s="19"/>
      <c r="F13" s="20"/>
      <c r="G13" s="22">
        <f t="shared" si="0"/>
        <v>28.210000000000036</v>
      </c>
      <c r="I13" s="315">
        <v>43202</v>
      </c>
      <c r="J13" s="242" t="s">
        <v>105</v>
      </c>
      <c r="K13" s="310" t="s">
        <v>319</v>
      </c>
      <c r="L13" s="19"/>
      <c r="M13" s="19"/>
      <c r="N13" s="20">
        <v>31.08</v>
      </c>
      <c r="O13" s="22">
        <f t="shared" si="1"/>
        <v>862.06000000000006</v>
      </c>
    </row>
    <row r="14" spans="1:15" ht="12.75" customHeight="1" x14ac:dyDescent="0.2">
      <c r="A14" s="243"/>
      <c r="B14" s="242"/>
      <c r="C14" s="25"/>
      <c r="D14" s="19"/>
      <c r="E14" s="19"/>
      <c r="F14" s="20"/>
      <c r="G14" s="22">
        <f t="shared" si="0"/>
        <v>28.210000000000036</v>
      </c>
      <c r="I14" s="338">
        <v>43202</v>
      </c>
      <c r="J14" s="242" t="s">
        <v>105</v>
      </c>
      <c r="K14" s="27" t="s">
        <v>319</v>
      </c>
      <c r="L14" s="27"/>
      <c r="M14" s="27"/>
      <c r="N14" s="10">
        <v>346.11</v>
      </c>
      <c r="O14" s="22">
        <f t="shared" si="1"/>
        <v>515.95000000000005</v>
      </c>
    </row>
    <row r="15" spans="1:15" ht="12.75" customHeight="1" x14ac:dyDescent="0.2">
      <c r="A15" s="243"/>
      <c r="B15" s="285"/>
      <c r="C15" s="233"/>
      <c r="D15" s="19"/>
      <c r="E15" s="19"/>
      <c r="F15" s="20"/>
      <c r="G15" s="22">
        <f t="shared" si="0"/>
        <v>28.210000000000036</v>
      </c>
      <c r="I15" s="338">
        <v>43215</v>
      </c>
      <c r="J15" s="235" t="s">
        <v>105</v>
      </c>
      <c r="K15" s="63" t="s">
        <v>329</v>
      </c>
      <c r="L15" s="15"/>
      <c r="M15" s="10"/>
      <c r="N15" s="10">
        <v>290</v>
      </c>
      <c r="O15" s="22">
        <f t="shared" si="1"/>
        <v>225.95000000000005</v>
      </c>
    </row>
    <row r="16" spans="1:15" ht="12.75" customHeight="1" x14ac:dyDescent="0.2">
      <c r="A16" s="243"/>
      <c r="B16" s="285"/>
      <c r="C16" s="233"/>
      <c r="D16" s="19"/>
      <c r="E16" s="19"/>
      <c r="F16" s="20"/>
      <c r="G16" s="22">
        <f t="shared" si="0"/>
        <v>28.210000000000036</v>
      </c>
      <c r="I16" s="315"/>
      <c r="J16" s="213"/>
      <c r="K16" s="63"/>
      <c r="L16" s="15"/>
      <c r="M16" s="15"/>
      <c r="N16" s="10"/>
      <c r="O16" s="22">
        <f t="shared" si="1"/>
        <v>225.95000000000005</v>
      </c>
    </row>
    <row r="17" spans="1:15" ht="12.75" customHeight="1" x14ac:dyDescent="0.2">
      <c r="A17" s="243"/>
      <c r="B17" s="242"/>
      <c r="C17" s="233"/>
      <c r="D17" s="19"/>
      <c r="E17" s="19"/>
      <c r="F17" s="20"/>
      <c r="G17" s="22">
        <f t="shared" si="0"/>
        <v>28.210000000000036</v>
      </c>
      <c r="I17" s="338"/>
      <c r="J17" s="235"/>
      <c r="K17" s="63"/>
      <c r="L17" s="15"/>
      <c r="M17" s="15"/>
      <c r="N17" s="10"/>
      <c r="O17" s="22">
        <f t="shared" si="1"/>
        <v>225.95000000000005</v>
      </c>
    </row>
    <row r="18" spans="1:15" ht="12.75" customHeight="1" x14ac:dyDescent="0.2">
      <c r="A18" s="62"/>
      <c r="B18" s="257"/>
      <c r="C18" s="63"/>
      <c r="D18" s="15"/>
      <c r="E18" s="10"/>
      <c r="F18" s="21"/>
      <c r="G18" s="22">
        <f t="shared" si="0"/>
        <v>28.210000000000036</v>
      </c>
      <c r="I18" s="338"/>
      <c r="J18" s="257"/>
      <c r="K18" s="63"/>
      <c r="L18" s="15"/>
      <c r="M18" s="10"/>
      <c r="N18" s="10"/>
      <c r="O18" s="22">
        <f t="shared" si="1"/>
        <v>225.95000000000005</v>
      </c>
    </row>
    <row r="19" spans="1:15" ht="12.75" customHeight="1" x14ac:dyDescent="0.2">
      <c r="A19" s="243"/>
      <c r="B19" s="285"/>
      <c r="C19" s="233"/>
      <c r="D19" s="19"/>
      <c r="E19" s="19"/>
      <c r="F19" s="20"/>
      <c r="G19" s="22">
        <f t="shared" si="0"/>
        <v>28.210000000000036</v>
      </c>
      <c r="I19" s="315"/>
      <c r="J19" s="285"/>
      <c r="K19" s="233"/>
      <c r="L19" s="19"/>
      <c r="M19" s="19"/>
      <c r="N19" s="10"/>
      <c r="O19" s="22">
        <f t="shared" si="1"/>
        <v>225.95000000000005</v>
      </c>
    </row>
    <row r="20" spans="1:15" ht="12.75" customHeight="1" x14ac:dyDescent="0.2">
      <c r="A20" s="243"/>
      <c r="B20" s="264"/>
      <c r="C20" s="233"/>
      <c r="D20" s="19"/>
      <c r="E20" s="12"/>
      <c r="F20" s="53"/>
      <c r="G20" s="22">
        <f t="shared" si="0"/>
        <v>28.210000000000036</v>
      </c>
      <c r="I20" s="315"/>
      <c r="J20" s="264"/>
      <c r="K20" s="233"/>
      <c r="L20" s="19"/>
      <c r="M20" s="12"/>
      <c r="N20" s="10"/>
      <c r="O20" s="22">
        <f t="shared" si="1"/>
        <v>225.95000000000005</v>
      </c>
    </row>
    <row r="21" spans="1:15" ht="12.75" customHeight="1" x14ac:dyDescent="0.2">
      <c r="A21" s="62"/>
      <c r="B21" s="213"/>
      <c r="C21" s="63"/>
      <c r="D21" s="15"/>
      <c r="E21" s="15"/>
      <c r="F21" s="52"/>
      <c r="G21" s="22">
        <f t="shared" si="0"/>
        <v>28.210000000000036</v>
      </c>
      <c r="I21" s="338"/>
      <c r="J21" s="213"/>
      <c r="K21" s="63"/>
      <c r="L21" s="15"/>
      <c r="M21" s="15"/>
      <c r="N21" s="10"/>
      <c r="O21" s="22">
        <f t="shared" si="1"/>
        <v>225.95000000000005</v>
      </c>
    </row>
    <row r="22" spans="1:15" ht="12.75" customHeight="1" x14ac:dyDescent="0.2">
      <c r="A22" s="62"/>
      <c r="B22" s="235"/>
      <c r="C22" s="63"/>
      <c r="D22" s="15"/>
      <c r="E22" s="15"/>
      <c r="F22" s="52"/>
      <c r="G22" s="22">
        <f t="shared" si="0"/>
        <v>28.210000000000036</v>
      </c>
      <c r="I22" s="338"/>
      <c r="J22" s="235"/>
      <c r="K22" s="63"/>
      <c r="L22" s="15"/>
      <c r="M22" s="15"/>
      <c r="N22" s="10"/>
      <c r="O22" s="22">
        <f t="shared" si="1"/>
        <v>225.95000000000005</v>
      </c>
    </row>
    <row r="23" spans="1:15" ht="12.75" customHeight="1" x14ac:dyDescent="0.2">
      <c r="A23" s="62"/>
      <c r="B23" s="213"/>
      <c r="C23" s="9"/>
      <c r="D23" s="15"/>
      <c r="E23" s="15"/>
      <c r="F23" s="52"/>
      <c r="G23" s="22">
        <f t="shared" si="0"/>
        <v>28.210000000000036</v>
      </c>
      <c r="I23" s="338"/>
      <c r="J23" s="213"/>
      <c r="K23" s="9"/>
      <c r="L23" s="15"/>
      <c r="M23" s="15"/>
      <c r="N23" s="10"/>
      <c r="O23" s="22">
        <f t="shared" si="1"/>
        <v>225.95000000000005</v>
      </c>
    </row>
    <row r="24" spans="1:15" ht="12.75" customHeight="1" x14ac:dyDescent="0.2">
      <c r="A24" s="59"/>
      <c r="B24" s="213"/>
      <c r="C24" s="9"/>
      <c r="D24" s="15"/>
      <c r="E24" s="10"/>
      <c r="F24" s="21"/>
      <c r="G24" s="22">
        <f t="shared" si="0"/>
        <v>28.210000000000036</v>
      </c>
      <c r="I24" s="339"/>
      <c r="J24" s="213"/>
      <c r="K24" s="9"/>
      <c r="L24" s="15"/>
      <c r="M24" s="10"/>
      <c r="N24" s="10"/>
      <c r="O24" s="22">
        <f t="shared" si="1"/>
        <v>225.95000000000005</v>
      </c>
    </row>
    <row r="25" spans="1:15" ht="12.75" customHeight="1" x14ac:dyDescent="0.2">
      <c r="A25" s="59"/>
      <c r="B25" s="213"/>
      <c r="C25" s="9"/>
      <c r="D25" s="15"/>
      <c r="E25" s="10"/>
      <c r="F25" s="21"/>
      <c r="G25" s="22">
        <f t="shared" si="0"/>
        <v>28.210000000000036</v>
      </c>
      <c r="I25" s="339"/>
      <c r="J25" s="213"/>
      <c r="K25" s="9"/>
      <c r="L25" s="15"/>
      <c r="M25" s="10"/>
      <c r="N25" s="10"/>
      <c r="O25" s="22">
        <f t="shared" si="1"/>
        <v>225.95000000000005</v>
      </c>
    </row>
    <row r="26" spans="1:15" ht="12.75" customHeight="1" x14ac:dyDescent="0.2">
      <c r="A26" s="59"/>
      <c r="B26" s="213"/>
      <c r="C26" s="9"/>
      <c r="D26" s="15"/>
      <c r="E26" s="10"/>
      <c r="F26" s="21"/>
      <c r="G26" s="22">
        <f t="shared" si="0"/>
        <v>28.210000000000036</v>
      </c>
      <c r="I26" s="339"/>
      <c r="J26" s="213"/>
      <c r="K26" s="9"/>
      <c r="L26" s="15"/>
      <c r="M26" s="10"/>
      <c r="N26" s="21"/>
      <c r="O26" s="22">
        <f t="shared" si="1"/>
        <v>225.95000000000005</v>
      </c>
    </row>
    <row r="27" spans="1:15" ht="12.75" customHeight="1" x14ac:dyDescent="0.2">
      <c r="A27" s="59"/>
      <c r="B27" s="213"/>
      <c r="C27" s="9"/>
      <c r="D27" s="15"/>
      <c r="E27" s="10"/>
      <c r="F27" s="21"/>
      <c r="G27" s="22">
        <f t="shared" si="0"/>
        <v>28.210000000000036</v>
      </c>
      <c r="I27" s="339"/>
      <c r="J27" s="213"/>
      <c r="K27" s="9"/>
      <c r="L27" s="15"/>
      <c r="M27" s="10"/>
      <c r="N27" s="21"/>
      <c r="O27" s="22">
        <f t="shared" si="1"/>
        <v>225.95000000000005</v>
      </c>
    </row>
    <row r="28" spans="1:15" ht="12.75" customHeight="1" thickBot="1" x14ac:dyDescent="0.25">
      <c r="A28" s="50"/>
      <c r="B28" s="265"/>
      <c r="C28" s="46"/>
      <c r="D28" s="28"/>
      <c r="E28" s="28"/>
      <c r="F28" s="28"/>
      <c r="G28" s="22">
        <f t="shared" si="0"/>
        <v>28.210000000000036</v>
      </c>
      <c r="I28" s="340"/>
      <c r="J28" s="265"/>
      <c r="K28" s="46"/>
      <c r="L28" s="28"/>
      <c r="M28" s="28"/>
      <c r="N28" s="28"/>
      <c r="O28" s="22">
        <f t="shared" si="1"/>
        <v>225.95000000000005</v>
      </c>
    </row>
    <row r="29" spans="1:15" x14ac:dyDescent="0.2">
      <c r="A29" s="1"/>
      <c r="B29" s="260"/>
      <c r="C29" s="2"/>
      <c r="D29" s="2"/>
      <c r="E29" s="2"/>
      <c r="F29" s="2"/>
      <c r="G29" s="17"/>
      <c r="I29" s="341"/>
      <c r="J29" s="260"/>
      <c r="K29" s="2"/>
      <c r="L29" s="2"/>
      <c r="M29" s="2"/>
      <c r="N29" s="2"/>
      <c r="O29" s="17"/>
    </row>
    <row r="30" spans="1:15" ht="13.5" thickBot="1" x14ac:dyDescent="0.25">
      <c r="A30" s="8" t="s">
        <v>3</v>
      </c>
      <c r="B30" s="259"/>
      <c r="C30" s="6"/>
      <c r="D30" s="13"/>
      <c r="E30" s="7"/>
      <c r="F30" s="7"/>
      <c r="G30" s="212">
        <f>G28</f>
        <v>28.210000000000036</v>
      </c>
      <c r="I30" s="342" t="s">
        <v>3</v>
      </c>
      <c r="J30" s="259"/>
      <c r="K30" s="6"/>
      <c r="L30" s="13"/>
      <c r="M30" s="7"/>
      <c r="N30" s="7"/>
      <c r="O30" s="212">
        <f>O28</f>
        <v>225.95000000000005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C00-000000000000}"/>
  </hyperlinks>
  <pageMargins left="0.7" right="0.7" top="0.75" bottom="0.75" header="0.3" footer="0.3"/>
  <pageSetup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O20"/>
  <sheetViews>
    <sheetView zoomScaleNormal="100" workbookViewId="0">
      <selection activeCell="H1" sqref="H1"/>
    </sheetView>
  </sheetViews>
  <sheetFormatPr defaultRowHeight="12.75" x14ac:dyDescent="0.2"/>
  <cols>
    <col min="1" max="2" width="11.28515625" style="246" bestFit="1" customWidth="1"/>
    <col min="3" max="3" width="32.42578125" style="246" customWidth="1"/>
    <col min="4" max="4" width="11.85546875" style="246" bestFit="1" customWidth="1"/>
    <col min="5" max="5" width="5.42578125" style="246" bestFit="1" customWidth="1"/>
    <col min="6" max="6" width="10.28515625" style="246" bestFit="1" customWidth="1"/>
    <col min="7" max="7" width="12" style="246" customWidth="1"/>
    <col min="8" max="8" width="9.140625" style="246"/>
    <col min="9" max="9" width="10.7109375" style="246" customWidth="1"/>
    <col min="10" max="10" width="11.28515625" style="246" customWidth="1"/>
    <col min="11" max="11" width="31.28515625" style="246" customWidth="1"/>
    <col min="12" max="12" width="10.7109375" style="246" customWidth="1"/>
    <col min="13" max="13" width="5.42578125" style="246" bestFit="1" customWidth="1"/>
    <col min="14" max="14" width="10.140625" style="246" customWidth="1"/>
    <col min="15" max="15" width="12.140625" style="246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43</v>
      </c>
      <c r="B4" s="363"/>
      <c r="C4" s="363"/>
      <c r="D4" s="363"/>
      <c r="E4" s="363"/>
      <c r="F4" s="363"/>
      <c r="G4" s="364"/>
      <c r="I4" s="362" t="s">
        <v>43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50" t="s">
        <v>94</v>
      </c>
      <c r="B6" s="351"/>
      <c r="C6" s="351"/>
      <c r="D6" s="351"/>
      <c r="E6" s="351"/>
      <c r="F6" s="351"/>
      <c r="G6" s="352"/>
      <c r="I6" s="350" t="s">
        <v>94</v>
      </c>
      <c r="J6" s="351"/>
      <c r="K6" s="351"/>
      <c r="L6" s="351"/>
      <c r="M6" s="351"/>
      <c r="N6" s="351"/>
      <c r="O6" s="352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50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50" t="s">
        <v>8</v>
      </c>
      <c r="N7" s="228" t="s">
        <v>5</v>
      </c>
      <c r="O7" s="229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I8" s="116"/>
      <c r="J8" s="117"/>
      <c r="K8" s="185" t="s">
        <v>74</v>
      </c>
      <c r="L8" s="118"/>
      <c r="M8" s="118"/>
      <c r="N8" s="118"/>
      <c r="O8" s="302">
        <f>L8</f>
        <v>0</v>
      </c>
    </row>
    <row r="9" spans="1:15" x14ac:dyDescent="0.2">
      <c r="A9" s="116"/>
      <c r="B9" s="185"/>
      <c r="C9" s="185"/>
      <c r="D9" s="118"/>
      <c r="E9" s="118"/>
      <c r="F9" s="118"/>
      <c r="G9" s="296">
        <f t="shared" ref="G9:G13" si="0">SUM(G8+D9-E9-F9)</f>
        <v>0</v>
      </c>
      <c r="I9" s="120"/>
      <c r="J9" s="117"/>
      <c r="K9" s="117"/>
      <c r="L9" s="118"/>
      <c r="M9" s="118"/>
      <c r="N9" s="118"/>
      <c r="O9" s="302">
        <f>O8+L9-M9-N9</f>
        <v>0</v>
      </c>
    </row>
    <row r="10" spans="1:15" x14ac:dyDescent="0.2">
      <c r="A10" s="116"/>
      <c r="B10" s="117"/>
      <c r="C10" s="185"/>
      <c r="D10" s="118"/>
      <c r="E10" s="118"/>
      <c r="F10" s="118"/>
      <c r="G10" s="296">
        <f t="shared" si="0"/>
        <v>0</v>
      </c>
      <c r="I10" s="120"/>
      <c r="J10" s="117"/>
      <c r="K10" s="117"/>
      <c r="L10" s="118"/>
      <c r="M10" s="118"/>
      <c r="N10" s="118"/>
      <c r="O10" s="302">
        <f t="shared" ref="O10:O13" si="1">O9+L10-M10-N10</f>
        <v>0</v>
      </c>
    </row>
    <row r="11" spans="1:15" x14ac:dyDescent="0.2">
      <c r="A11" s="120"/>
      <c r="B11" s="117"/>
      <c r="C11" s="117"/>
      <c r="D11" s="118"/>
      <c r="E11" s="118"/>
      <c r="F11" s="118"/>
      <c r="G11" s="296">
        <f t="shared" si="0"/>
        <v>0</v>
      </c>
      <c r="I11" s="292"/>
      <c r="J11" s="189"/>
      <c r="K11" s="189"/>
      <c r="L11" s="293"/>
      <c r="M11" s="293"/>
      <c r="N11" s="293"/>
      <c r="O11" s="302">
        <f t="shared" si="1"/>
        <v>0</v>
      </c>
    </row>
    <row r="12" spans="1:15" x14ac:dyDescent="0.2">
      <c r="A12" s="120"/>
      <c r="B12" s="117"/>
      <c r="C12" s="117"/>
      <c r="D12" s="118"/>
      <c r="E12" s="118"/>
      <c r="F12" s="118"/>
      <c r="G12" s="296">
        <f t="shared" si="0"/>
        <v>0</v>
      </c>
      <c r="I12" s="292"/>
      <c r="J12" s="189"/>
      <c r="K12" s="189"/>
      <c r="L12" s="293"/>
      <c r="M12" s="293"/>
      <c r="N12" s="293"/>
      <c r="O12" s="302">
        <f t="shared" si="1"/>
        <v>0</v>
      </c>
    </row>
    <row r="13" spans="1:15" ht="13.5" thickBot="1" x14ac:dyDescent="0.25">
      <c r="A13" s="121"/>
      <c r="B13" s="122"/>
      <c r="C13" s="122"/>
      <c r="D13" s="123"/>
      <c r="E13" s="123"/>
      <c r="F13" s="123"/>
      <c r="G13" s="297">
        <f t="shared" si="0"/>
        <v>0</v>
      </c>
      <c r="I13" s="121"/>
      <c r="J13" s="122"/>
      <c r="K13" s="122"/>
      <c r="L13" s="123"/>
      <c r="M13" s="123"/>
      <c r="N13" s="123"/>
      <c r="O13" s="302">
        <f t="shared" si="1"/>
        <v>0</v>
      </c>
    </row>
    <row r="14" spans="1:15" ht="13.5" thickTop="1" x14ac:dyDescent="0.2">
      <c r="A14" s="113"/>
      <c r="B14" s="114"/>
      <c r="C14" s="114"/>
      <c r="D14" s="115"/>
      <c r="E14" s="115"/>
      <c r="F14" s="115"/>
      <c r="G14" s="303"/>
      <c r="I14" s="113"/>
      <c r="J14" s="114"/>
      <c r="K14" s="114"/>
      <c r="L14" s="115"/>
      <c r="M14" s="115"/>
      <c r="N14" s="115"/>
      <c r="O14" s="303"/>
    </row>
    <row r="15" spans="1:15" ht="13.5" thickBot="1" x14ac:dyDescent="0.25">
      <c r="A15" s="286" t="s">
        <v>3</v>
      </c>
      <c r="B15" s="287"/>
      <c r="C15" s="287"/>
      <c r="D15" s="288"/>
      <c r="E15" s="289"/>
      <c r="F15" s="290"/>
      <c r="G15" s="297">
        <f>G13</f>
        <v>0</v>
      </c>
      <c r="I15" s="286" t="s">
        <v>3</v>
      </c>
      <c r="J15" s="287"/>
      <c r="K15" s="287"/>
      <c r="L15" s="288"/>
      <c r="M15" s="289"/>
      <c r="N15" s="290"/>
      <c r="O15" s="297">
        <f>O13</f>
        <v>0</v>
      </c>
    </row>
    <row r="17" spans="1:7" x14ac:dyDescent="0.2">
      <c r="A17" s="114"/>
      <c r="B17" s="114"/>
      <c r="C17" s="114"/>
      <c r="D17" s="115"/>
      <c r="E17" s="115"/>
      <c r="F17" s="115"/>
      <c r="G17" s="115"/>
    </row>
    <row r="18" spans="1:7" x14ac:dyDescent="0.2">
      <c r="A18" s="114"/>
      <c r="B18" s="114"/>
      <c r="C18" s="114"/>
      <c r="D18" s="115"/>
      <c r="E18" s="115"/>
      <c r="F18" s="115"/>
      <c r="G18" s="115"/>
    </row>
    <row r="19" spans="1:7" x14ac:dyDescent="0.2">
      <c r="A19" s="114"/>
      <c r="B19" s="114"/>
      <c r="C19" s="114"/>
      <c r="D19" s="115"/>
      <c r="E19" s="115"/>
      <c r="F19" s="115"/>
      <c r="G19" s="115"/>
    </row>
    <row r="20" spans="1:7" x14ac:dyDescent="0.2">
      <c r="A20" s="304"/>
      <c r="B20" s="114"/>
      <c r="C20" s="114"/>
      <c r="D20" s="305"/>
      <c r="E20" s="115"/>
      <c r="F20" s="115"/>
      <c r="G20" s="115"/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0200-000000000000}"/>
  </hyperlinks>
  <pageMargins left="0.75" right="0.75" top="1" bottom="1" header="0.5" footer="0.5"/>
  <pageSetup scale="9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5"/>
  <dimension ref="A1:O31"/>
  <sheetViews>
    <sheetView zoomScaleNormal="100" workbookViewId="0">
      <selection activeCell="H1" sqref="H1"/>
    </sheetView>
  </sheetViews>
  <sheetFormatPr defaultRowHeight="12.75" x14ac:dyDescent="0.2"/>
  <cols>
    <col min="1" max="1" width="10.85546875" customWidth="1"/>
    <col min="2" max="2" width="9.28515625" bestFit="1" customWidth="1"/>
    <col min="3" max="3" width="32" bestFit="1" customWidth="1"/>
    <col min="4" max="4" width="15.140625" bestFit="1" customWidth="1"/>
    <col min="5" max="5" width="5.42578125" bestFit="1" customWidth="1"/>
    <col min="6" max="6" width="9.42578125" bestFit="1" customWidth="1"/>
    <col min="7" max="7" width="12.5703125" customWidth="1"/>
    <col min="9" max="9" width="10.85546875" customWidth="1"/>
    <col min="10" max="10" width="9.28515625" bestFit="1" customWidth="1"/>
    <col min="11" max="11" width="32" bestFit="1" customWidth="1"/>
    <col min="12" max="12" width="15.140625" bestFit="1" customWidth="1"/>
    <col min="13" max="13" width="5.42578125" bestFit="1" customWidth="1"/>
    <col min="14" max="14" width="9.42578125" bestFit="1" customWidth="1"/>
    <col min="15" max="15" width="12.5703125" customWidth="1"/>
  </cols>
  <sheetData>
    <row r="1" spans="1:15" x14ac:dyDescent="0.2">
      <c r="A1" s="353" t="s">
        <v>11</v>
      </c>
      <c r="B1" s="354"/>
      <c r="C1" s="354"/>
      <c r="D1" s="354"/>
      <c r="E1" s="354"/>
      <c r="F1" s="354"/>
      <c r="G1" s="355"/>
      <c r="H1" s="291" t="s">
        <v>78</v>
      </c>
      <c r="I1" s="353" t="s">
        <v>11</v>
      </c>
      <c r="J1" s="354"/>
      <c r="K1" s="354"/>
      <c r="L1" s="354"/>
      <c r="M1" s="354"/>
      <c r="N1" s="354"/>
      <c r="O1" s="355"/>
    </row>
    <row r="2" spans="1:15" x14ac:dyDescent="0.2">
      <c r="A2" s="356" t="s">
        <v>41</v>
      </c>
      <c r="B2" s="357"/>
      <c r="C2" s="357"/>
      <c r="D2" s="357"/>
      <c r="E2" s="357"/>
      <c r="F2" s="357"/>
      <c r="G2" s="358"/>
      <c r="I2" s="356" t="s">
        <v>41</v>
      </c>
      <c r="J2" s="357"/>
      <c r="K2" s="357"/>
      <c r="L2" s="357"/>
      <c r="M2" s="357"/>
      <c r="N2" s="357"/>
      <c r="O2" s="358"/>
    </row>
    <row r="3" spans="1:15" x14ac:dyDescent="0.2">
      <c r="A3" s="359"/>
      <c r="B3" s="360"/>
      <c r="C3" s="360"/>
      <c r="D3" s="360"/>
      <c r="E3" s="360"/>
      <c r="F3" s="360"/>
      <c r="G3" s="361"/>
      <c r="I3" s="359"/>
      <c r="J3" s="360"/>
      <c r="K3" s="360"/>
      <c r="L3" s="360"/>
      <c r="M3" s="360"/>
      <c r="N3" s="360"/>
      <c r="O3" s="361"/>
    </row>
    <row r="4" spans="1:15" ht="18" x14ac:dyDescent="0.2">
      <c r="A4" s="362" t="s">
        <v>55</v>
      </c>
      <c r="B4" s="363"/>
      <c r="C4" s="363"/>
      <c r="D4" s="363"/>
      <c r="E4" s="363"/>
      <c r="F4" s="363"/>
      <c r="G4" s="364"/>
      <c r="I4" s="362" t="s">
        <v>55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66"/>
      <c r="K5" s="366"/>
      <c r="L5" s="366"/>
      <c r="M5" s="366"/>
      <c r="N5" s="366"/>
      <c r="O5" s="367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.7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596</v>
      </c>
      <c r="I8" s="247"/>
      <c r="J8" s="238"/>
      <c r="K8" s="238" t="s">
        <v>74</v>
      </c>
      <c r="L8" s="248"/>
      <c r="M8" s="248"/>
      <c r="N8" s="248"/>
      <c r="O8" s="249">
        <v>376</v>
      </c>
    </row>
    <row r="9" spans="1:15" x14ac:dyDescent="0.2">
      <c r="A9" s="14"/>
      <c r="B9" s="9"/>
      <c r="C9" s="58"/>
      <c r="D9" s="15"/>
      <c r="E9" s="10"/>
      <c r="F9" s="21"/>
      <c r="G9" s="22">
        <f>SUM(G8+D9-E9-F9)</f>
        <v>596</v>
      </c>
      <c r="I9" s="14"/>
      <c r="J9" s="9"/>
      <c r="K9" s="58"/>
      <c r="L9" s="15"/>
      <c r="M9" s="10"/>
      <c r="N9" s="21"/>
      <c r="O9" s="22">
        <f>SUM(O8+L9-M9-N9)</f>
        <v>376</v>
      </c>
    </row>
    <row r="10" spans="1:15" x14ac:dyDescent="0.2">
      <c r="A10" s="14"/>
      <c r="B10" s="9"/>
      <c r="C10" s="9"/>
      <c r="D10" s="15"/>
      <c r="E10" s="10"/>
      <c r="F10" s="21"/>
      <c r="G10" s="22">
        <f t="shared" ref="G10:G14" si="0">SUM(G9+D10-E10-F10)</f>
        <v>596</v>
      </c>
      <c r="I10" s="14"/>
      <c r="J10" s="9"/>
      <c r="K10" s="9"/>
      <c r="L10" s="15"/>
      <c r="M10" s="10"/>
      <c r="N10" s="21"/>
      <c r="O10" s="22">
        <f t="shared" ref="O10:O29" si="1">SUM(O9+L10-M10-N10)</f>
        <v>376</v>
      </c>
    </row>
    <row r="11" spans="1:15" x14ac:dyDescent="0.2">
      <c r="A11" s="29"/>
      <c r="B11" s="27"/>
      <c r="C11" s="27"/>
      <c r="D11" s="10"/>
      <c r="E11" s="10"/>
      <c r="F11" s="10"/>
      <c r="G11" s="22">
        <f t="shared" si="0"/>
        <v>596</v>
      </c>
      <c r="I11" s="29"/>
      <c r="J11" s="27"/>
      <c r="K11" s="27"/>
      <c r="L11" s="10"/>
      <c r="M11" s="10"/>
      <c r="N11" s="10"/>
      <c r="O11" s="22">
        <f t="shared" si="1"/>
        <v>376</v>
      </c>
    </row>
    <row r="12" spans="1:15" x14ac:dyDescent="0.2">
      <c r="A12" s="29"/>
      <c r="B12" s="27"/>
      <c r="C12" s="27"/>
      <c r="D12" s="10"/>
      <c r="E12" s="10"/>
      <c r="F12" s="10"/>
      <c r="G12" s="22">
        <f t="shared" si="0"/>
        <v>596</v>
      </c>
      <c r="I12" s="29"/>
      <c r="J12" s="27"/>
      <c r="K12" s="27"/>
      <c r="L12" s="10"/>
      <c r="M12" s="10"/>
      <c r="N12" s="10"/>
      <c r="O12" s="22">
        <f t="shared" si="1"/>
        <v>376</v>
      </c>
    </row>
    <row r="13" spans="1:15" x14ac:dyDescent="0.2">
      <c r="A13" s="29"/>
      <c r="B13" s="27"/>
      <c r="C13" s="27"/>
      <c r="D13" s="10"/>
      <c r="E13" s="10"/>
      <c r="F13" s="10"/>
      <c r="G13" s="22">
        <f t="shared" si="0"/>
        <v>596</v>
      </c>
      <c r="I13" s="29"/>
      <c r="J13" s="27"/>
      <c r="K13" s="27"/>
      <c r="L13" s="10"/>
      <c r="M13" s="10"/>
      <c r="N13" s="10"/>
      <c r="O13" s="22">
        <f t="shared" si="1"/>
        <v>376</v>
      </c>
    </row>
    <row r="14" spans="1:15" x14ac:dyDescent="0.2">
      <c r="A14" s="29"/>
      <c r="B14" s="27"/>
      <c r="C14" s="27"/>
      <c r="D14" s="10"/>
      <c r="E14" s="10"/>
      <c r="F14" s="10"/>
      <c r="G14" s="22">
        <f t="shared" si="0"/>
        <v>596</v>
      </c>
      <c r="I14" s="29"/>
      <c r="J14" s="27"/>
      <c r="K14" s="27"/>
      <c r="L14" s="10"/>
      <c r="M14" s="10"/>
      <c r="N14" s="10"/>
      <c r="O14" s="22">
        <f t="shared" si="1"/>
        <v>376</v>
      </c>
    </row>
    <row r="15" spans="1:15" x14ac:dyDescent="0.2">
      <c r="A15" s="29"/>
      <c r="B15" s="27"/>
      <c r="C15" s="27"/>
      <c r="D15" s="10"/>
      <c r="E15" s="10"/>
      <c r="F15" s="10"/>
      <c r="G15" s="30">
        <f t="shared" ref="G15:G29" si="2">SUM(G14+D15-E15-F15)</f>
        <v>596</v>
      </c>
      <c r="I15" s="29"/>
      <c r="J15" s="27"/>
      <c r="K15" s="27"/>
      <c r="L15" s="10"/>
      <c r="M15" s="10"/>
      <c r="N15" s="10"/>
      <c r="O15" s="30">
        <f t="shared" si="1"/>
        <v>376</v>
      </c>
    </row>
    <row r="16" spans="1:15" x14ac:dyDescent="0.2">
      <c r="A16" s="29"/>
      <c r="B16" s="27"/>
      <c r="C16" s="27"/>
      <c r="D16" s="10"/>
      <c r="E16" s="10"/>
      <c r="F16" s="10"/>
      <c r="G16" s="30">
        <f t="shared" si="2"/>
        <v>596</v>
      </c>
      <c r="I16" s="29"/>
      <c r="J16" s="27"/>
      <c r="K16" s="27"/>
      <c r="L16" s="10"/>
      <c r="M16" s="10"/>
      <c r="N16" s="10"/>
      <c r="O16" s="30">
        <f t="shared" si="1"/>
        <v>376</v>
      </c>
    </row>
    <row r="17" spans="1:15" x14ac:dyDescent="0.2">
      <c r="A17" s="29"/>
      <c r="B17" s="27"/>
      <c r="C17" s="27"/>
      <c r="D17" s="10"/>
      <c r="E17" s="10"/>
      <c r="F17" s="10"/>
      <c r="G17" s="30">
        <f t="shared" si="2"/>
        <v>596</v>
      </c>
      <c r="I17" s="29"/>
      <c r="J17" s="27"/>
      <c r="K17" s="27"/>
      <c r="L17" s="10"/>
      <c r="M17" s="10"/>
      <c r="N17" s="10"/>
      <c r="O17" s="30">
        <f t="shared" si="1"/>
        <v>376</v>
      </c>
    </row>
    <row r="18" spans="1:15" x14ac:dyDescent="0.2">
      <c r="A18" s="29"/>
      <c r="B18" s="27"/>
      <c r="C18" s="27"/>
      <c r="D18" s="10"/>
      <c r="E18" s="10"/>
      <c r="F18" s="10"/>
      <c r="G18" s="30">
        <f t="shared" si="2"/>
        <v>596</v>
      </c>
      <c r="I18" s="29"/>
      <c r="J18" s="27"/>
      <c r="K18" s="27"/>
      <c r="L18" s="10"/>
      <c r="M18" s="10"/>
      <c r="N18" s="10"/>
      <c r="O18" s="30">
        <f t="shared" si="1"/>
        <v>376</v>
      </c>
    </row>
    <row r="19" spans="1:15" x14ac:dyDescent="0.2">
      <c r="A19" s="29"/>
      <c r="B19" s="27"/>
      <c r="C19" s="27"/>
      <c r="D19" s="10"/>
      <c r="E19" s="10"/>
      <c r="F19" s="10"/>
      <c r="G19" s="30">
        <f t="shared" si="2"/>
        <v>596</v>
      </c>
      <c r="I19" s="29"/>
      <c r="J19" s="27"/>
      <c r="K19" s="27"/>
      <c r="L19" s="10"/>
      <c r="M19" s="10"/>
      <c r="N19" s="10"/>
      <c r="O19" s="30">
        <f t="shared" si="1"/>
        <v>376</v>
      </c>
    </row>
    <row r="20" spans="1:15" x14ac:dyDescent="0.2">
      <c r="A20" s="29"/>
      <c r="B20" s="27"/>
      <c r="C20" s="27"/>
      <c r="D20" s="10"/>
      <c r="E20" s="10"/>
      <c r="F20" s="10"/>
      <c r="G20" s="30">
        <f t="shared" si="2"/>
        <v>596</v>
      </c>
      <c r="I20" s="29"/>
      <c r="J20" s="27"/>
      <c r="K20" s="27"/>
      <c r="L20" s="10"/>
      <c r="M20" s="10"/>
      <c r="N20" s="10"/>
      <c r="O20" s="30">
        <f t="shared" si="1"/>
        <v>376</v>
      </c>
    </row>
    <row r="21" spans="1:15" x14ac:dyDescent="0.2">
      <c r="A21" s="29"/>
      <c r="B21" s="27"/>
      <c r="C21" s="27"/>
      <c r="D21" s="10"/>
      <c r="E21" s="10"/>
      <c r="F21" s="10"/>
      <c r="G21" s="30">
        <f t="shared" si="2"/>
        <v>596</v>
      </c>
      <c r="I21" s="29"/>
      <c r="J21" s="27"/>
      <c r="K21" s="27"/>
      <c r="L21" s="10"/>
      <c r="M21" s="10"/>
      <c r="N21" s="10"/>
      <c r="O21" s="30">
        <f t="shared" si="1"/>
        <v>376</v>
      </c>
    </row>
    <row r="22" spans="1:15" x14ac:dyDescent="0.2">
      <c r="A22" s="29"/>
      <c r="B22" s="27"/>
      <c r="C22" s="27"/>
      <c r="D22" s="10"/>
      <c r="E22" s="10"/>
      <c r="F22" s="10"/>
      <c r="G22" s="30">
        <f t="shared" si="2"/>
        <v>596</v>
      </c>
      <c r="I22" s="29"/>
      <c r="J22" s="27"/>
      <c r="K22" s="27"/>
      <c r="L22" s="10"/>
      <c r="M22" s="10"/>
      <c r="N22" s="10"/>
      <c r="O22" s="30">
        <f t="shared" si="1"/>
        <v>376</v>
      </c>
    </row>
    <row r="23" spans="1:15" x14ac:dyDescent="0.2">
      <c r="A23" s="29"/>
      <c r="B23" s="27"/>
      <c r="C23" s="27"/>
      <c r="D23" s="10"/>
      <c r="E23" s="10"/>
      <c r="F23" s="10"/>
      <c r="G23" s="30">
        <f t="shared" si="2"/>
        <v>596</v>
      </c>
      <c r="I23" s="29"/>
      <c r="J23" s="27"/>
      <c r="K23" s="27"/>
      <c r="L23" s="10"/>
      <c r="M23" s="10"/>
      <c r="N23" s="10"/>
      <c r="O23" s="30">
        <f t="shared" si="1"/>
        <v>376</v>
      </c>
    </row>
    <row r="24" spans="1:15" x14ac:dyDescent="0.2">
      <c r="A24" s="29"/>
      <c r="B24" s="27"/>
      <c r="C24" s="27"/>
      <c r="D24" s="10"/>
      <c r="E24" s="10"/>
      <c r="F24" s="10"/>
      <c r="G24" s="30">
        <f t="shared" si="2"/>
        <v>596</v>
      </c>
      <c r="I24" s="29"/>
      <c r="J24" s="27"/>
      <c r="K24" s="27"/>
      <c r="L24" s="10"/>
      <c r="M24" s="10"/>
      <c r="N24" s="10"/>
      <c r="O24" s="30">
        <f t="shared" si="1"/>
        <v>376</v>
      </c>
    </row>
    <row r="25" spans="1:15" x14ac:dyDescent="0.2">
      <c r="A25" s="29"/>
      <c r="B25" s="27"/>
      <c r="C25" s="27"/>
      <c r="D25" s="10"/>
      <c r="E25" s="10"/>
      <c r="F25" s="10"/>
      <c r="G25" s="30">
        <f t="shared" si="2"/>
        <v>596</v>
      </c>
      <c r="I25" s="29"/>
      <c r="J25" s="27"/>
      <c r="K25" s="27"/>
      <c r="L25" s="10"/>
      <c r="M25" s="10"/>
      <c r="N25" s="10"/>
      <c r="O25" s="30">
        <f t="shared" si="1"/>
        <v>376</v>
      </c>
    </row>
    <row r="26" spans="1:15" x14ac:dyDescent="0.2">
      <c r="A26" s="29"/>
      <c r="B26" s="27"/>
      <c r="C26" s="27"/>
      <c r="D26" s="10"/>
      <c r="E26" s="10"/>
      <c r="F26" s="10"/>
      <c r="G26" s="30">
        <f t="shared" si="2"/>
        <v>596</v>
      </c>
      <c r="I26" s="29"/>
      <c r="J26" s="27"/>
      <c r="K26" s="27"/>
      <c r="L26" s="10"/>
      <c r="M26" s="10"/>
      <c r="N26" s="10"/>
      <c r="O26" s="30">
        <f t="shared" si="1"/>
        <v>376</v>
      </c>
    </row>
    <row r="27" spans="1:15" x14ac:dyDescent="0.2">
      <c r="A27" s="29"/>
      <c r="B27" s="27"/>
      <c r="C27" s="27"/>
      <c r="D27" s="10"/>
      <c r="E27" s="10"/>
      <c r="F27" s="10"/>
      <c r="G27" s="30">
        <f t="shared" si="2"/>
        <v>596</v>
      </c>
      <c r="I27" s="29"/>
      <c r="J27" s="27"/>
      <c r="K27" s="27"/>
      <c r="L27" s="10"/>
      <c r="M27" s="10"/>
      <c r="N27" s="10"/>
      <c r="O27" s="30">
        <f t="shared" si="1"/>
        <v>376</v>
      </c>
    </row>
    <row r="28" spans="1:15" x14ac:dyDescent="0.2">
      <c r="A28" s="29"/>
      <c r="B28" s="27"/>
      <c r="C28" s="27"/>
      <c r="D28" s="10"/>
      <c r="E28" s="10"/>
      <c r="F28" s="10"/>
      <c r="G28" s="30">
        <f t="shared" si="2"/>
        <v>596</v>
      </c>
      <c r="I28" s="29"/>
      <c r="J28" s="27"/>
      <c r="K28" s="27"/>
      <c r="L28" s="10"/>
      <c r="M28" s="10"/>
      <c r="N28" s="10"/>
      <c r="O28" s="30">
        <f t="shared" si="1"/>
        <v>376</v>
      </c>
    </row>
    <row r="29" spans="1:15" x14ac:dyDescent="0.2">
      <c r="A29" s="29"/>
      <c r="B29" s="27"/>
      <c r="C29" s="27"/>
      <c r="D29" s="10"/>
      <c r="E29" s="10"/>
      <c r="F29" s="10"/>
      <c r="G29" s="30">
        <f t="shared" si="2"/>
        <v>596</v>
      </c>
      <c r="I29" s="29"/>
      <c r="J29" s="27"/>
      <c r="K29" s="27"/>
      <c r="L29" s="10"/>
      <c r="M29" s="10"/>
      <c r="N29" s="10"/>
      <c r="O29" s="30">
        <f t="shared" si="1"/>
        <v>376</v>
      </c>
    </row>
    <row r="30" spans="1:15" x14ac:dyDescent="0.2">
      <c r="A30" s="3"/>
      <c r="B30" s="4"/>
      <c r="C30" s="4"/>
      <c r="D30" s="5"/>
      <c r="E30" s="5"/>
      <c r="F30" s="5"/>
      <c r="G30" s="18"/>
      <c r="I30" s="3"/>
      <c r="J30" s="4"/>
      <c r="K30" s="4"/>
      <c r="L30" s="5"/>
      <c r="M30" s="5"/>
      <c r="N30" s="5"/>
      <c r="O30" s="18"/>
    </row>
    <row r="31" spans="1:15" ht="13.5" thickBot="1" x14ac:dyDescent="0.25">
      <c r="A31" s="8" t="s">
        <v>3</v>
      </c>
      <c r="B31" s="6"/>
      <c r="C31" s="6"/>
      <c r="D31" s="13"/>
      <c r="E31" s="7"/>
      <c r="F31" s="7"/>
      <c r="G31" s="212">
        <f>G29</f>
        <v>596</v>
      </c>
      <c r="I31" s="8" t="s">
        <v>3</v>
      </c>
      <c r="J31" s="6"/>
      <c r="K31" s="6"/>
      <c r="L31" s="13"/>
      <c r="M31" s="7"/>
      <c r="N31" s="7"/>
      <c r="O31" s="212">
        <f>O29</f>
        <v>376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D00-000000000000}"/>
  </hyperlinks>
  <pageMargins left="0.7" right="0.7" top="0.75" bottom="0.75" header="0.3" footer="0.3"/>
  <pageSetup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7"/>
  <dimension ref="A1:O31"/>
  <sheetViews>
    <sheetView topLeftCell="D1" zoomScaleNormal="100" workbookViewId="0">
      <selection activeCell="N14" sqref="N14"/>
    </sheetView>
  </sheetViews>
  <sheetFormatPr defaultRowHeight="12.75" x14ac:dyDescent="0.2"/>
  <cols>
    <col min="1" max="1" width="11.85546875" bestFit="1" customWidth="1"/>
    <col min="2" max="2" width="11.28515625" bestFit="1" customWidth="1"/>
    <col min="3" max="3" width="31.7109375" bestFit="1" customWidth="1"/>
    <col min="4" max="4" width="12" style="66" customWidth="1"/>
    <col min="5" max="5" width="5.42578125" bestFit="1" customWidth="1"/>
    <col min="6" max="6" width="10.42578125" style="66" bestFit="1" customWidth="1"/>
    <col min="7" max="7" width="12.5703125" customWidth="1"/>
    <col min="9" max="9" width="11.85546875" bestFit="1" customWidth="1"/>
    <col min="10" max="10" width="11.28515625" bestFit="1" customWidth="1"/>
    <col min="11" max="11" width="31.7109375" bestFit="1" customWidth="1"/>
    <col min="12" max="12" width="12" customWidth="1"/>
    <col min="13" max="13" width="5.42578125" bestFit="1" customWidth="1"/>
    <col min="14" max="14" width="10.42578125" bestFit="1" customWidth="1"/>
    <col min="15" max="15" width="12.57031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107</v>
      </c>
      <c r="B4" s="363"/>
      <c r="C4" s="363"/>
      <c r="D4" s="363"/>
      <c r="E4" s="363"/>
      <c r="F4" s="363"/>
      <c r="G4" s="364"/>
      <c r="I4" s="362" t="s">
        <v>107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5.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14"/>
      <c r="B8" s="9"/>
      <c r="C8" s="9" t="s">
        <v>83</v>
      </c>
      <c r="D8" s="15"/>
      <c r="E8" s="10"/>
      <c r="F8" s="21"/>
      <c r="G8" s="249">
        <v>1109.52</v>
      </c>
      <c r="I8" s="14"/>
      <c r="J8" s="9"/>
      <c r="K8" s="9" t="s">
        <v>77</v>
      </c>
      <c r="L8" s="15"/>
      <c r="M8" s="10"/>
      <c r="N8" s="21"/>
      <c r="O8" s="249">
        <v>1744.56</v>
      </c>
    </row>
    <row r="9" spans="1:15" ht="25.5" x14ac:dyDescent="0.2">
      <c r="A9" s="14">
        <v>43014</v>
      </c>
      <c r="B9" s="27">
        <v>11428310</v>
      </c>
      <c r="C9" s="321" t="s">
        <v>108</v>
      </c>
      <c r="D9" s="15"/>
      <c r="E9" s="10"/>
      <c r="F9" s="21">
        <v>50</v>
      </c>
      <c r="G9" s="22">
        <f>SUM(G8+D9-E9-F9)</f>
        <v>1059.52</v>
      </c>
      <c r="I9" s="14">
        <v>43119</v>
      </c>
      <c r="J9" s="9"/>
      <c r="K9" s="9" t="s">
        <v>215</v>
      </c>
      <c r="L9" s="15"/>
      <c r="M9" s="10"/>
      <c r="N9" s="21">
        <v>38</v>
      </c>
      <c r="O9" s="22">
        <f>SUM(O8+L9-M9-N9)</f>
        <v>1706.56</v>
      </c>
    </row>
    <row r="10" spans="1:15" ht="25.5" x14ac:dyDescent="0.2">
      <c r="A10" s="14">
        <v>43027</v>
      </c>
      <c r="B10" s="27" t="s">
        <v>105</v>
      </c>
      <c r="C10" s="324" t="s">
        <v>116</v>
      </c>
      <c r="D10" s="15"/>
      <c r="E10" s="10"/>
      <c r="F10" s="21">
        <v>12.76</v>
      </c>
      <c r="G10" s="22">
        <f>SUM(G9+D10-E10-F10)</f>
        <v>1046.76</v>
      </c>
      <c r="I10" s="14">
        <v>43178</v>
      </c>
      <c r="J10" s="9" t="s">
        <v>105</v>
      </c>
      <c r="K10" s="63" t="s">
        <v>262</v>
      </c>
      <c r="L10" s="15"/>
      <c r="M10" s="10"/>
      <c r="N10" s="21">
        <v>48.82</v>
      </c>
      <c r="O10" s="22">
        <f t="shared" ref="O10:O29" si="0">SUM(O9+L10-M10-N10)</f>
        <v>1657.74</v>
      </c>
    </row>
    <row r="11" spans="1:15" x14ac:dyDescent="0.2">
      <c r="A11" s="14">
        <v>42996</v>
      </c>
      <c r="B11" s="27" t="s">
        <v>136</v>
      </c>
      <c r="C11" s="237" t="s">
        <v>137</v>
      </c>
      <c r="D11" s="10"/>
      <c r="E11" s="27"/>
      <c r="F11" s="10">
        <v>50.83</v>
      </c>
      <c r="G11" s="22">
        <f>SUM(G10+D11-E11-F11)</f>
        <v>995.93</v>
      </c>
      <c r="I11" s="23">
        <v>43200</v>
      </c>
      <c r="J11" s="27" t="s">
        <v>105</v>
      </c>
      <c r="K11" s="27" t="s">
        <v>292</v>
      </c>
      <c r="L11" s="10"/>
      <c r="M11" s="27"/>
      <c r="N11" s="347">
        <v>153.91999999999999</v>
      </c>
      <c r="O11" s="22">
        <f t="shared" si="0"/>
        <v>1503.82</v>
      </c>
    </row>
    <row r="12" spans="1:15" ht="25.5" x14ac:dyDescent="0.2">
      <c r="A12" s="14">
        <v>43040</v>
      </c>
      <c r="B12" s="27" t="s">
        <v>105</v>
      </c>
      <c r="C12" s="237" t="s">
        <v>163</v>
      </c>
      <c r="D12" s="10"/>
      <c r="E12" s="27"/>
      <c r="F12" s="10">
        <v>26.97</v>
      </c>
      <c r="G12" s="22">
        <f>SUM(G11+D12-E12-F12)</f>
        <v>968.95999999999992</v>
      </c>
      <c r="I12" s="23">
        <v>43200</v>
      </c>
      <c r="J12" s="27" t="s">
        <v>105</v>
      </c>
      <c r="K12" s="321" t="s">
        <v>293</v>
      </c>
      <c r="L12" s="10"/>
      <c r="M12" s="27"/>
      <c r="N12" s="10">
        <v>181.02</v>
      </c>
      <c r="O12" s="22">
        <f t="shared" si="0"/>
        <v>1322.8</v>
      </c>
    </row>
    <row r="13" spans="1:15" ht="25.5" x14ac:dyDescent="0.2">
      <c r="A13" s="14">
        <v>43051</v>
      </c>
      <c r="B13" s="27" t="s">
        <v>105</v>
      </c>
      <c r="C13" s="321" t="s">
        <v>179</v>
      </c>
      <c r="D13" s="10"/>
      <c r="E13" s="27"/>
      <c r="F13" s="10">
        <v>200</v>
      </c>
      <c r="G13" s="22">
        <f>SUM(G12+D13-E13-F13)</f>
        <v>768.95999999999992</v>
      </c>
      <c r="I13" s="23">
        <v>43207</v>
      </c>
      <c r="J13" s="27" t="s">
        <v>305</v>
      </c>
      <c r="K13" s="27" t="s">
        <v>306</v>
      </c>
      <c r="L13" s="10"/>
      <c r="M13" s="27"/>
      <c r="N13" s="10">
        <f>118.25-10.24</f>
        <v>108.01</v>
      </c>
      <c r="O13" s="22">
        <f t="shared" si="0"/>
        <v>1214.79</v>
      </c>
    </row>
    <row r="14" spans="1:15" ht="25.5" x14ac:dyDescent="0.2">
      <c r="A14" s="14">
        <v>43021</v>
      </c>
      <c r="B14" s="321" t="s">
        <v>180</v>
      </c>
      <c r="C14" s="10" t="s">
        <v>181</v>
      </c>
      <c r="D14" s="27"/>
      <c r="E14" s="27"/>
      <c r="F14" s="10">
        <f>2.5*9.5</f>
        <v>23.75</v>
      </c>
      <c r="G14" s="22">
        <f t="shared" ref="G14:G29" si="1">SUM(G13+D14-E14-F14)</f>
        <v>745.20999999999992</v>
      </c>
      <c r="I14" s="23">
        <v>43210</v>
      </c>
      <c r="J14" s="27" t="s">
        <v>307</v>
      </c>
      <c r="K14" s="27" t="s">
        <v>308</v>
      </c>
      <c r="L14" s="10"/>
      <c r="M14" s="27"/>
      <c r="N14" s="10">
        <f>530.75-79.61</f>
        <v>451.14</v>
      </c>
      <c r="O14" s="22">
        <f t="shared" si="0"/>
        <v>763.65</v>
      </c>
    </row>
    <row r="15" spans="1:15" s="49" customFormat="1" x14ac:dyDescent="0.2">
      <c r="A15" s="14">
        <v>43073</v>
      </c>
      <c r="B15" s="9" t="s">
        <v>191</v>
      </c>
      <c r="C15" s="11" t="s">
        <v>190</v>
      </c>
      <c r="D15" s="12"/>
      <c r="E15" s="19"/>
      <c r="F15" s="20">
        <f>90.82-13.62</f>
        <v>77.199999999999989</v>
      </c>
      <c r="G15" s="22">
        <f t="shared" si="1"/>
        <v>668.01</v>
      </c>
      <c r="H15" s="67"/>
      <c r="I15" s="23">
        <v>43220</v>
      </c>
      <c r="J15" s="9" t="s">
        <v>105</v>
      </c>
      <c r="K15" s="27" t="s">
        <v>350</v>
      </c>
      <c r="L15" s="12"/>
      <c r="M15" s="19"/>
      <c r="N15" s="20">
        <v>68.87</v>
      </c>
      <c r="O15" s="22">
        <f t="shared" si="0"/>
        <v>694.78</v>
      </c>
    </row>
    <row r="16" spans="1:15" x14ac:dyDescent="0.2">
      <c r="A16" s="14"/>
      <c r="B16" s="9"/>
      <c r="C16" s="11"/>
      <c r="D16" s="12"/>
      <c r="E16" s="19"/>
      <c r="F16" s="20"/>
      <c r="G16" s="22">
        <f t="shared" si="1"/>
        <v>668.01</v>
      </c>
      <c r="I16" s="23">
        <v>43220</v>
      </c>
      <c r="J16" s="63" t="s">
        <v>105</v>
      </c>
      <c r="K16" s="27" t="s">
        <v>350</v>
      </c>
      <c r="L16" s="12"/>
      <c r="M16" s="19"/>
      <c r="N16" s="20">
        <v>49.64</v>
      </c>
      <c r="O16" s="22">
        <f t="shared" si="0"/>
        <v>645.14</v>
      </c>
    </row>
    <row r="17" spans="1:15" x14ac:dyDescent="0.2">
      <c r="A17" s="14"/>
      <c r="B17" s="9"/>
      <c r="C17" s="11"/>
      <c r="D17" s="12"/>
      <c r="E17" s="19"/>
      <c r="F17" s="20"/>
      <c r="G17" s="22">
        <f t="shared" si="1"/>
        <v>668.01</v>
      </c>
      <c r="I17" s="23">
        <v>43221</v>
      </c>
      <c r="J17" s="9" t="s">
        <v>105</v>
      </c>
      <c r="K17" s="11" t="s">
        <v>351</v>
      </c>
      <c r="L17" s="12"/>
      <c r="M17" s="19"/>
      <c r="N17" s="20">
        <v>22.67</v>
      </c>
      <c r="O17" s="22">
        <f t="shared" si="0"/>
        <v>622.47</v>
      </c>
    </row>
    <row r="18" spans="1:15" x14ac:dyDescent="0.2">
      <c r="A18" s="14"/>
      <c r="B18" s="9"/>
      <c r="C18" s="11"/>
      <c r="D18" s="12"/>
      <c r="E18" s="19"/>
      <c r="F18" s="20"/>
      <c r="G18" s="22">
        <f t="shared" si="1"/>
        <v>668.01</v>
      </c>
      <c r="I18" s="23">
        <v>43221</v>
      </c>
      <c r="J18" s="9" t="s">
        <v>105</v>
      </c>
      <c r="K18" s="11" t="s">
        <v>352</v>
      </c>
      <c r="L18" s="12"/>
      <c r="M18" s="19"/>
      <c r="N18" s="20">
        <v>72.86</v>
      </c>
      <c r="O18" s="22">
        <f t="shared" si="0"/>
        <v>549.61</v>
      </c>
    </row>
    <row r="19" spans="1:15" x14ac:dyDescent="0.2">
      <c r="A19" s="14"/>
      <c r="B19" s="9"/>
      <c r="C19" s="9"/>
      <c r="D19" s="15"/>
      <c r="E19" s="10"/>
      <c r="F19" s="21"/>
      <c r="G19" s="22">
        <f t="shared" si="1"/>
        <v>668.01</v>
      </c>
      <c r="I19" s="14"/>
      <c r="J19" s="9"/>
      <c r="K19" s="9"/>
      <c r="L19" s="15"/>
      <c r="M19" s="10"/>
      <c r="N19" s="21"/>
      <c r="O19" s="22">
        <f t="shared" si="0"/>
        <v>549.61</v>
      </c>
    </row>
    <row r="20" spans="1:15" x14ac:dyDescent="0.2">
      <c r="A20" s="14"/>
      <c r="B20" s="63"/>
      <c r="C20" s="63"/>
      <c r="D20" s="15"/>
      <c r="E20" s="10"/>
      <c r="F20" s="21"/>
      <c r="G20" s="22">
        <f t="shared" si="1"/>
        <v>668.01</v>
      </c>
      <c r="I20" s="14"/>
      <c r="J20" s="63"/>
      <c r="K20" s="63"/>
      <c r="L20" s="15"/>
      <c r="M20" s="10"/>
      <c r="N20" s="21"/>
      <c r="O20" s="22">
        <f t="shared" si="0"/>
        <v>549.61</v>
      </c>
    </row>
    <row r="21" spans="1:15" x14ac:dyDescent="0.2">
      <c r="A21" s="14"/>
      <c r="B21" s="9"/>
      <c r="C21" s="9"/>
      <c r="D21" s="15"/>
      <c r="E21" s="10"/>
      <c r="F21" s="21"/>
      <c r="G21" s="22">
        <f t="shared" si="1"/>
        <v>668.01</v>
      </c>
      <c r="I21" s="14"/>
      <c r="J21" s="9"/>
      <c r="K21" s="9"/>
      <c r="L21" s="15"/>
      <c r="M21" s="10"/>
      <c r="N21" s="21"/>
      <c r="O21" s="22">
        <f t="shared" si="0"/>
        <v>549.61</v>
      </c>
    </row>
    <row r="22" spans="1:15" x14ac:dyDescent="0.2">
      <c r="A22" s="14"/>
      <c r="B22" s="9"/>
      <c r="C22" s="9"/>
      <c r="D22" s="15"/>
      <c r="E22" s="10"/>
      <c r="F22" s="21"/>
      <c r="G22" s="22">
        <f t="shared" si="1"/>
        <v>668.01</v>
      </c>
      <c r="I22" s="14"/>
      <c r="J22" s="9"/>
      <c r="K22" s="9"/>
      <c r="L22" s="15"/>
      <c r="M22" s="10"/>
      <c r="N22" s="21"/>
      <c r="O22" s="22">
        <f t="shared" si="0"/>
        <v>549.61</v>
      </c>
    </row>
    <row r="23" spans="1:15" x14ac:dyDescent="0.2">
      <c r="A23" s="14"/>
      <c r="B23" s="9"/>
      <c r="C23" s="63"/>
      <c r="D23" s="15"/>
      <c r="E23" s="10"/>
      <c r="F23" s="21"/>
      <c r="G23" s="22">
        <f t="shared" si="1"/>
        <v>668.01</v>
      </c>
      <c r="I23" s="14"/>
      <c r="J23" s="9"/>
      <c r="K23" s="63"/>
      <c r="L23" s="15"/>
      <c r="M23" s="10"/>
      <c r="N23" s="21"/>
      <c r="O23" s="22">
        <f t="shared" si="0"/>
        <v>549.61</v>
      </c>
    </row>
    <row r="24" spans="1:15" x14ac:dyDescent="0.2">
      <c r="A24" s="14"/>
      <c r="B24" s="9"/>
      <c r="C24" s="9"/>
      <c r="D24" s="15"/>
      <c r="E24" s="10"/>
      <c r="F24" s="21"/>
      <c r="G24" s="22">
        <f t="shared" si="1"/>
        <v>668.01</v>
      </c>
      <c r="I24" s="14"/>
      <c r="J24" s="9"/>
      <c r="K24" s="9"/>
      <c r="L24" s="15"/>
      <c r="M24" s="10"/>
      <c r="N24" s="21"/>
      <c r="O24" s="22">
        <f t="shared" si="0"/>
        <v>549.61</v>
      </c>
    </row>
    <row r="25" spans="1:15" x14ac:dyDescent="0.2">
      <c r="A25" s="14"/>
      <c r="B25" s="27"/>
      <c r="C25" s="27"/>
      <c r="D25" s="10"/>
      <c r="E25" s="10"/>
      <c r="F25" s="10"/>
      <c r="G25" s="22">
        <f t="shared" si="1"/>
        <v>668.01</v>
      </c>
      <c r="I25" s="29"/>
      <c r="J25" s="27"/>
      <c r="K25" s="27"/>
      <c r="L25" s="10"/>
      <c r="M25" s="10"/>
      <c r="N25" s="10"/>
      <c r="O25" s="22">
        <f t="shared" si="0"/>
        <v>549.61</v>
      </c>
    </row>
    <row r="26" spans="1:15" x14ac:dyDescent="0.2">
      <c r="A26" s="14"/>
      <c r="B26" s="27"/>
      <c r="C26" s="27"/>
      <c r="D26" s="10"/>
      <c r="E26" s="10"/>
      <c r="F26" s="10"/>
      <c r="G26" s="22">
        <f t="shared" si="1"/>
        <v>668.01</v>
      </c>
      <c r="I26" s="29"/>
      <c r="J26" s="27"/>
      <c r="K26" s="27"/>
      <c r="L26" s="10"/>
      <c r="M26" s="10"/>
      <c r="N26" s="10"/>
      <c r="O26" s="22">
        <f t="shared" si="0"/>
        <v>549.61</v>
      </c>
    </row>
    <row r="27" spans="1:15" x14ac:dyDescent="0.2">
      <c r="A27" s="14"/>
      <c r="B27" s="27"/>
      <c r="C27" s="27"/>
      <c r="D27" s="10"/>
      <c r="E27" s="10"/>
      <c r="F27" s="10"/>
      <c r="G27" s="22">
        <f t="shared" si="1"/>
        <v>668.01</v>
      </c>
      <c r="I27" s="29"/>
      <c r="J27" s="27"/>
      <c r="K27" s="27"/>
      <c r="L27" s="10"/>
      <c r="M27" s="10"/>
      <c r="N27" s="10"/>
      <c r="O27" s="22">
        <f t="shared" si="0"/>
        <v>549.61</v>
      </c>
    </row>
    <row r="28" spans="1:15" x14ac:dyDescent="0.2">
      <c r="A28" s="14"/>
      <c r="B28" s="27"/>
      <c r="C28" s="27"/>
      <c r="D28" s="10"/>
      <c r="E28" s="10"/>
      <c r="F28" s="10"/>
      <c r="G28" s="22">
        <f t="shared" si="1"/>
        <v>668.01</v>
      </c>
      <c r="I28" s="29"/>
      <c r="J28" s="27"/>
      <c r="K28" s="27"/>
      <c r="L28" s="10"/>
      <c r="M28" s="10"/>
      <c r="N28" s="10"/>
      <c r="O28" s="30">
        <f t="shared" si="0"/>
        <v>549.61</v>
      </c>
    </row>
    <row r="29" spans="1:15" x14ac:dyDescent="0.2">
      <c r="A29" s="14"/>
      <c r="B29" s="27"/>
      <c r="C29" s="27"/>
      <c r="D29" s="10"/>
      <c r="E29" s="10"/>
      <c r="F29" s="10"/>
      <c r="G29" s="22">
        <f t="shared" si="1"/>
        <v>668.01</v>
      </c>
      <c r="I29" s="29"/>
      <c r="J29" s="27"/>
      <c r="K29" s="27"/>
      <c r="L29" s="10"/>
      <c r="M29" s="10"/>
      <c r="N29" s="10"/>
      <c r="O29" s="30">
        <f t="shared" si="0"/>
        <v>549.61</v>
      </c>
    </row>
    <row r="30" spans="1:15" x14ac:dyDescent="0.2">
      <c r="A30" s="3"/>
      <c r="B30" s="4"/>
      <c r="C30" s="4"/>
      <c r="D30" s="5"/>
      <c r="E30" s="5"/>
      <c r="F30" s="5"/>
      <c r="G30" s="18"/>
      <c r="I30" s="3"/>
      <c r="J30" s="4"/>
      <c r="K30" s="4"/>
      <c r="L30" s="5"/>
      <c r="M30" s="5"/>
      <c r="N30" s="5"/>
      <c r="O30" s="18"/>
    </row>
    <row r="31" spans="1:15" ht="13.5" thickBot="1" x14ac:dyDescent="0.25">
      <c r="A31" s="8" t="s">
        <v>3</v>
      </c>
      <c r="B31" s="6"/>
      <c r="C31" s="6"/>
      <c r="D31" s="13"/>
      <c r="E31" s="7"/>
      <c r="F31" s="7"/>
      <c r="G31" s="212">
        <f>G29</f>
        <v>668.01</v>
      </c>
      <c r="I31" s="8" t="s">
        <v>3</v>
      </c>
      <c r="J31" s="6"/>
      <c r="K31" s="6"/>
      <c r="L31" s="13"/>
      <c r="M31" s="7"/>
      <c r="N31" s="7"/>
      <c r="O31" s="212">
        <f>O29</f>
        <v>549.61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1E00-000000000000}"/>
  </hyperlinks>
  <pageMargins left="0.7" right="0.7" top="0.75" bottom="0.75" header="0.3" footer="0.3"/>
  <pageSetup scale="9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pageSetUpPr fitToPage="1"/>
  </sheetPr>
  <dimension ref="A1:O37"/>
  <sheetViews>
    <sheetView zoomScaleNormal="100"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1.28515625" bestFit="1" customWidth="1"/>
    <col min="3" max="3" width="30.85546875" bestFit="1" customWidth="1"/>
    <col min="4" max="4" width="10.28515625" bestFit="1" customWidth="1"/>
    <col min="5" max="5" width="5.42578125" bestFit="1" customWidth="1"/>
    <col min="6" max="6" width="10.42578125" bestFit="1" customWidth="1"/>
    <col min="7" max="7" width="11.7109375" customWidth="1"/>
    <col min="9" max="9" width="11.5703125" bestFit="1" customWidth="1"/>
    <col min="10" max="10" width="11.28515625" bestFit="1" customWidth="1"/>
    <col min="11" max="11" width="30.85546875" bestFit="1" customWidth="1"/>
    <col min="12" max="12" width="10.28515625" bestFit="1" customWidth="1"/>
    <col min="13" max="13" width="5.42578125" bestFit="1" customWidth="1"/>
    <col min="14" max="14" width="10.42578125" bestFit="1" customWidth="1"/>
    <col min="15" max="15" width="11.710937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56</v>
      </c>
      <c r="B4" s="363"/>
      <c r="C4" s="363"/>
      <c r="D4" s="363"/>
      <c r="E4" s="363"/>
      <c r="F4" s="363"/>
      <c r="G4" s="364"/>
      <c r="I4" s="362" t="s">
        <v>56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2401.5</v>
      </c>
      <c r="I8" s="14"/>
      <c r="K8" s="9" t="s">
        <v>74</v>
      </c>
      <c r="L8" s="15"/>
      <c r="O8" s="249">
        <v>2994.19</v>
      </c>
    </row>
    <row r="9" spans="1:15" x14ac:dyDescent="0.2">
      <c r="A9" s="14">
        <v>43028</v>
      </c>
      <c r="B9" s="9" t="s">
        <v>125</v>
      </c>
      <c r="C9" s="9" t="s">
        <v>126</v>
      </c>
      <c r="D9" s="15"/>
      <c r="E9" s="10"/>
      <c r="F9" s="21">
        <v>605.38</v>
      </c>
      <c r="G9" s="22">
        <f>SUM(G8+D9-E9-F9)</f>
        <v>1796.12</v>
      </c>
      <c r="I9" s="14">
        <v>43202</v>
      </c>
      <c r="J9" s="9" t="s">
        <v>309</v>
      </c>
      <c r="K9" s="9" t="s">
        <v>310</v>
      </c>
      <c r="L9" s="61"/>
      <c r="M9" s="55"/>
      <c r="N9" s="313">
        <f>1565.3-218.02</f>
        <v>1347.28</v>
      </c>
      <c r="O9" s="22">
        <f>SUM(O8+L9-M9-N9)</f>
        <v>1646.91</v>
      </c>
    </row>
    <row r="10" spans="1:15" x14ac:dyDescent="0.2">
      <c r="A10" s="14">
        <v>43034</v>
      </c>
      <c r="B10" s="9" t="s">
        <v>105</v>
      </c>
      <c r="C10" s="9" t="s">
        <v>142</v>
      </c>
      <c r="D10" s="15"/>
      <c r="E10" s="10"/>
      <c r="F10" s="21">
        <v>300</v>
      </c>
      <c r="G10" s="22">
        <f t="shared" ref="G10:G35" si="0">SUM(G9+D10-E10-F10)</f>
        <v>1496.12</v>
      </c>
      <c r="I10" s="14">
        <v>43202</v>
      </c>
      <c r="J10" s="9" t="s">
        <v>105</v>
      </c>
      <c r="K10" s="9" t="s">
        <v>321</v>
      </c>
      <c r="M10" s="10"/>
      <c r="N10" s="21">
        <v>17.940000000000001</v>
      </c>
      <c r="O10" s="22">
        <f t="shared" ref="O10:O35" si="1">SUM(O9+L10-M10-N10)</f>
        <v>1628.97</v>
      </c>
    </row>
    <row r="11" spans="1:15" x14ac:dyDescent="0.2">
      <c r="A11" s="14"/>
      <c r="B11" s="9"/>
      <c r="C11" s="63"/>
      <c r="D11" s="15"/>
      <c r="E11" s="10"/>
      <c r="F11" s="21"/>
      <c r="G11" s="22">
        <f t="shared" si="0"/>
        <v>1496.12</v>
      </c>
      <c r="I11" s="315">
        <v>43202</v>
      </c>
      <c r="J11" s="285" t="s">
        <v>105</v>
      </c>
      <c r="K11" s="63" t="s">
        <v>322</v>
      </c>
      <c r="L11" s="15"/>
      <c r="M11" s="10"/>
      <c r="N11" s="21">
        <v>285.10000000000002</v>
      </c>
      <c r="O11" s="22">
        <f t="shared" si="1"/>
        <v>1343.87</v>
      </c>
    </row>
    <row r="12" spans="1:15" x14ac:dyDescent="0.2">
      <c r="A12" s="14"/>
      <c r="B12" s="9"/>
      <c r="C12" s="9"/>
      <c r="D12" s="15"/>
      <c r="E12" s="10"/>
      <c r="F12" s="21"/>
      <c r="G12" s="22">
        <f t="shared" si="0"/>
        <v>1496.12</v>
      </c>
      <c r="I12" s="338">
        <v>43215</v>
      </c>
      <c r="J12" s="235" t="s">
        <v>105</v>
      </c>
      <c r="K12" s="63" t="s">
        <v>329</v>
      </c>
      <c r="L12" s="15"/>
      <c r="M12" s="10"/>
      <c r="N12" s="21">
        <v>790.96</v>
      </c>
      <c r="O12" s="22">
        <f t="shared" si="1"/>
        <v>552.90999999999985</v>
      </c>
    </row>
    <row r="13" spans="1:15" x14ac:dyDescent="0.2">
      <c r="A13" s="14"/>
      <c r="B13" s="9"/>
      <c r="C13" s="9"/>
      <c r="D13" s="15"/>
      <c r="E13" s="10"/>
      <c r="F13" s="21"/>
      <c r="G13" s="22">
        <f t="shared" si="0"/>
        <v>1496.12</v>
      </c>
      <c r="I13" s="14"/>
      <c r="J13" s="9"/>
      <c r="K13" s="9"/>
      <c r="L13" s="15"/>
      <c r="M13" s="10"/>
      <c r="N13" s="10"/>
      <c r="O13" s="22">
        <f t="shared" si="1"/>
        <v>552.90999999999985</v>
      </c>
    </row>
    <row r="14" spans="1:15" x14ac:dyDescent="0.2">
      <c r="A14" s="14"/>
      <c r="B14" s="9"/>
      <c r="C14" s="60"/>
      <c r="D14" s="15"/>
      <c r="E14" s="10"/>
      <c r="F14" s="21"/>
      <c r="G14" s="22">
        <f t="shared" si="0"/>
        <v>1496.12</v>
      </c>
      <c r="I14" s="47"/>
      <c r="J14" s="27"/>
      <c r="K14" s="27"/>
      <c r="L14" s="10"/>
      <c r="M14" s="10"/>
      <c r="N14" s="10"/>
      <c r="O14" s="22">
        <f t="shared" si="1"/>
        <v>552.90999999999985</v>
      </c>
    </row>
    <row r="15" spans="1:15" x14ac:dyDescent="0.2">
      <c r="A15" s="14"/>
      <c r="B15" s="9"/>
      <c r="C15" s="9"/>
      <c r="D15" s="15"/>
      <c r="E15" s="10"/>
      <c r="F15" s="21"/>
      <c r="G15" s="22">
        <f t="shared" si="0"/>
        <v>1496.12</v>
      </c>
      <c r="I15" s="47"/>
      <c r="J15" s="27"/>
      <c r="K15" s="27"/>
      <c r="L15" s="10"/>
      <c r="M15" s="10"/>
      <c r="N15" s="10"/>
      <c r="O15" s="22">
        <f t="shared" si="1"/>
        <v>552.90999999999985</v>
      </c>
    </row>
    <row r="16" spans="1:15" x14ac:dyDescent="0.2">
      <c r="A16" s="14"/>
      <c r="B16" s="9"/>
      <c r="C16" s="9"/>
      <c r="D16" s="15"/>
      <c r="E16" s="10"/>
      <c r="F16" s="21"/>
      <c r="G16" s="22">
        <f t="shared" si="0"/>
        <v>1496.12</v>
      </c>
      <c r="I16" s="47"/>
      <c r="J16" s="27"/>
      <c r="K16" s="237"/>
      <c r="L16" s="10"/>
      <c r="M16" s="10"/>
      <c r="N16" s="10"/>
      <c r="O16" s="22">
        <f t="shared" si="1"/>
        <v>552.90999999999985</v>
      </c>
    </row>
    <row r="17" spans="1:15" x14ac:dyDescent="0.2">
      <c r="A17" s="14"/>
      <c r="B17" s="9"/>
      <c r="C17" s="9"/>
      <c r="D17" s="15"/>
      <c r="E17" s="10"/>
      <c r="F17" s="21"/>
      <c r="G17" s="22">
        <f t="shared" si="0"/>
        <v>1496.12</v>
      </c>
      <c r="I17" s="14"/>
      <c r="J17" s="9"/>
      <c r="K17" s="9"/>
      <c r="L17" s="15"/>
      <c r="M17" s="10"/>
      <c r="N17" s="21"/>
      <c r="O17" s="22">
        <f t="shared" si="1"/>
        <v>552.90999999999985</v>
      </c>
    </row>
    <row r="18" spans="1:15" x14ac:dyDescent="0.2">
      <c r="A18" s="14"/>
      <c r="B18" s="9"/>
      <c r="C18" s="9"/>
      <c r="D18" s="54"/>
      <c r="E18" s="10"/>
      <c r="F18" s="21"/>
      <c r="G18" s="22">
        <f t="shared" si="0"/>
        <v>1496.12</v>
      </c>
      <c r="I18" s="14"/>
      <c r="J18" s="9"/>
      <c r="K18" s="9"/>
      <c r="L18" s="54"/>
      <c r="M18" s="10"/>
      <c r="N18" s="21"/>
      <c r="O18" s="22">
        <f t="shared" si="1"/>
        <v>552.90999999999985</v>
      </c>
    </row>
    <row r="19" spans="1:15" x14ac:dyDescent="0.2">
      <c r="A19" s="14"/>
      <c r="B19" s="9"/>
      <c r="C19" s="25"/>
      <c r="D19" s="15"/>
      <c r="E19" s="10"/>
      <c r="F19" s="21"/>
      <c r="G19" s="22">
        <f t="shared" si="0"/>
        <v>1496.12</v>
      </c>
      <c r="I19" s="14"/>
      <c r="J19" s="9"/>
      <c r="K19" s="25"/>
      <c r="L19" s="15"/>
      <c r="M19" s="10"/>
      <c r="N19" s="21"/>
      <c r="O19" s="22">
        <f t="shared" si="1"/>
        <v>552.90999999999985</v>
      </c>
    </row>
    <row r="20" spans="1:15" x14ac:dyDescent="0.2">
      <c r="A20" s="14"/>
      <c r="C20" s="9"/>
      <c r="D20" s="15"/>
      <c r="G20" s="22">
        <f t="shared" si="0"/>
        <v>1496.12</v>
      </c>
      <c r="I20" s="14"/>
      <c r="K20" s="9"/>
      <c r="L20" s="15"/>
      <c r="O20" s="22">
        <f t="shared" si="1"/>
        <v>552.90999999999985</v>
      </c>
    </row>
    <row r="21" spans="1:15" x14ac:dyDescent="0.2">
      <c r="A21" s="14"/>
      <c r="B21" s="9"/>
      <c r="C21" s="9"/>
      <c r="D21" s="61"/>
      <c r="E21" s="55"/>
      <c r="F21" s="56"/>
      <c r="G21" s="22">
        <f t="shared" si="0"/>
        <v>1496.12</v>
      </c>
      <c r="I21" s="14"/>
      <c r="J21" s="9"/>
      <c r="K21" s="9"/>
      <c r="L21" s="61"/>
      <c r="M21" s="55"/>
      <c r="N21" s="56"/>
      <c r="O21" s="22">
        <f t="shared" si="1"/>
        <v>552.90999999999985</v>
      </c>
    </row>
    <row r="22" spans="1:15" x14ac:dyDescent="0.2">
      <c r="A22" s="14"/>
      <c r="B22" s="9"/>
      <c r="C22" s="51"/>
      <c r="E22" s="10"/>
      <c r="F22" s="21"/>
      <c r="G22" s="22">
        <f t="shared" si="0"/>
        <v>1496.12</v>
      </c>
      <c r="I22" s="14"/>
      <c r="J22" s="9"/>
      <c r="K22" s="51"/>
      <c r="M22" s="10"/>
      <c r="N22" s="21"/>
      <c r="O22" s="22">
        <f t="shared" si="1"/>
        <v>552.90999999999985</v>
      </c>
    </row>
    <row r="23" spans="1:15" x14ac:dyDescent="0.2">
      <c r="A23" s="14"/>
      <c r="B23" s="9"/>
      <c r="C23" s="9"/>
      <c r="D23" s="15"/>
      <c r="E23" s="10"/>
      <c r="F23" s="21"/>
      <c r="G23" s="22">
        <f t="shared" si="0"/>
        <v>1496.12</v>
      </c>
      <c r="I23" s="14"/>
      <c r="J23" s="9"/>
      <c r="K23" s="9"/>
      <c r="L23" s="15"/>
      <c r="M23" s="10"/>
      <c r="N23" s="21"/>
      <c r="O23" s="22">
        <f t="shared" si="1"/>
        <v>552.90999999999985</v>
      </c>
    </row>
    <row r="24" spans="1:15" x14ac:dyDescent="0.2">
      <c r="A24" s="14"/>
      <c r="B24" s="9"/>
      <c r="C24" s="9"/>
      <c r="D24" s="15"/>
      <c r="E24" s="10"/>
      <c r="F24" s="21"/>
      <c r="G24" s="22">
        <f t="shared" si="0"/>
        <v>1496.12</v>
      </c>
      <c r="I24" s="14"/>
      <c r="J24" s="9"/>
      <c r="K24" s="9"/>
      <c r="L24" s="15"/>
      <c r="M24" s="10"/>
      <c r="N24" s="21"/>
      <c r="O24" s="22">
        <f t="shared" si="1"/>
        <v>552.90999999999985</v>
      </c>
    </row>
    <row r="25" spans="1:15" x14ac:dyDescent="0.2">
      <c r="A25" s="14"/>
      <c r="B25" s="9"/>
      <c r="C25" s="9"/>
      <c r="D25" s="15"/>
      <c r="E25" s="10"/>
      <c r="F25" s="10"/>
      <c r="G25" s="22">
        <f t="shared" si="0"/>
        <v>1496.12</v>
      </c>
      <c r="I25" s="14"/>
      <c r="J25" s="9"/>
      <c r="K25" s="9"/>
      <c r="L25" s="15"/>
      <c r="M25" s="10"/>
      <c r="N25" s="10"/>
      <c r="O25" s="22">
        <f t="shared" si="1"/>
        <v>552.90999999999985</v>
      </c>
    </row>
    <row r="26" spans="1:15" x14ac:dyDescent="0.2">
      <c r="A26" s="47"/>
      <c r="B26" s="27"/>
      <c r="C26" s="27"/>
      <c r="D26" s="10"/>
      <c r="E26" s="10"/>
      <c r="F26" s="10"/>
      <c r="G26" s="22">
        <f t="shared" si="0"/>
        <v>1496.12</v>
      </c>
      <c r="I26" s="47"/>
      <c r="J26" s="27"/>
      <c r="K26" s="27"/>
      <c r="L26" s="10"/>
      <c r="M26" s="10"/>
      <c r="N26" s="10"/>
      <c r="O26" s="22">
        <f t="shared" si="1"/>
        <v>552.90999999999985</v>
      </c>
    </row>
    <row r="27" spans="1:15" x14ac:dyDescent="0.2">
      <c r="A27" s="47"/>
      <c r="B27" s="27"/>
      <c r="C27" s="27"/>
      <c r="D27" s="10"/>
      <c r="E27" s="10"/>
      <c r="F27" s="10"/>
      <c r="G27" s="22">
        <f t="shared" si="0"/>
        <v>1496.12</v>
      </c>
      <c r="I27" s="47"/>
      <c r="J27" s="27"/>
      <c r="K27" s="27"/>
      <c r="L27" s="10"/>
      <c r="M27" s="10"/>
      <c r="N27" s="10"/>
      <c r="O27" s="22">
        <f t="shared" si="1"/>
        <v>552.90999999999985</v>
      </c>
    </row>
    <row r="28" spans="1:15" x14ac:dyDescent="0.2">
      <c r="A28" s="47"/>
      <c r="B28" s="27"/>
      <c r="C28" s="237"/>
      <c r="D28" s="10"/>
      <c r="E28" s="10"/>
      <c r="F28" s="10"/>
      <c r="G28" s="22">
        <f t="shared" si="0"/>
        <v>1496.12</v>
      </c>
      <c r="I28" s="47"/>
      <c r="J28" s="27"/>
      <c r="K28" s="237"/>
      <c r="L28" s="10"/>
      <c r="M28" s="10"/>
      <c r="N28" s="10"/>
      <c r="O28" s="22">
        <f t="shared" si="1"/>
        <v>552.90999999999985</v>
      </c>
    </row>
    <row r="29" spans="1:15" x14ac:dyDescent="0.2">
      <c r="A29" s="29"/>
      <c r="B29" s="27"/>
      <c r="C29" s="27"/>
      <c r="D29" s="10"/>
      <c r="E29" s="10"/>
      <c r="F29" s="10"/>
      <c r="G29" s="22">
        <f t="shared" si="0"/>
        <v>1496.12</v>
      </c>
      <c r="I29" s="29"/>
      <c r="J29" s="27"/>
      <c r="K29" s="27"/>
      <c r="L29" s="10"/>
      <c r="M29" s="10"/>
      <c r="N29" s="10"/>
      <c r="O29" s="22">
        <f t="shared" si="1"/>
        <v>552.90999999999985</v>
      </c>
    </row>
    <row r="30" spans="1:15" x14ac:dyDescent="0.2">
      <c r="A30" s="29"/>
      <c r="B30" s="27"/>
      <c r="C30" s="27"/>
      <c r="D30" s="10"/>
      <c r="E30" s="10"/>
      <c r="F30" s="10"/>
      <c r="G30" s="22">
        <f t="shared" si="0"/>
        <v>1496.12</v>
      </c>
      <c r="I30" s="29"/>
      <c r="J30" s="27"/>
      <c r="K30" s="27"/>
      <c r="L30" s="10"/>
      <c r="M30" s="10"/>
      <c r="N30" s="10"/>
      <c r="O30" s="22">
        <f t="shared" si="1"/>
        <v>552.90999999999985</v>
      </c>
    </row>
    <row r="31" spans="1:15" x14ac:dyDescent="0.2">
      <c r="A31" s="29"/>
      <c r="B31" s="27"/>
      <c r="C31" s="27"/>
      <c r="D31" s="10"/>
      <c r="E31" s="10"/>
      <c r="F31" s="10"/>
      <c r="G31" s="22">
        <f t="shared" si="0"/>
        <v>1496.12</v>
      </c>
      <c r="I31" s="29"/>
      <c r="J31" s="27"/>
      <c r="K31" s="27"/>
      <c r="L31" s="10"/>
      <c r="M31" s="10"/>
      <c r="N31" s="10"/>
      <c r="O31" s="22">
        <f t="shared" si="1"/>
        <v>552.90999999999985</v>
      </c>
    </row>
    <row r="32" spans="1:15" x14ac:dyDescent="0.2">
      <c r="A32" s="29"/>
      <c r="B32" s="27"/>
      <c r="C32" s="27"/>
      <c r="D32" s="10"/>
      <c r="E32" s="10"/>
      <c r="F32" s="10"/>
      <c r="G32" s="22">
        <f t="shared" si="0"/>
        <v>1496.12</v>
      </c>
      <c r="I32" s="29"/>
      <c r="J32" s="27"/>
      <c r="K32" s="27"/>
      <c r="L32" s="10"/>
      <c r="M32" s="10"/>
      <c r="N32" s="10"/>
      <c r="O32" s="22">
        <f t="shared" si="1"/>
        <v>552.90999999999985</v>
      </c>
    </row>
    <row r="33" spans="1:15" x14ac:dyDescent="0.2">
      <c r="A33" s="29"/>
      <c r="B33" s="27"/>
      <c r="C33" s="27"/>
      <c r="D33" s="10"/>
      <c r="E33" s="10"/>
      <c r="F33" s="10"/>
      <c r="G33" s="22">
        <f t="shared" si="0"/>
        <v>1496.12</v>
      </c>
      <c r="I33" s="29"/>
      <c r="J33" s="27"/>
      <c r="K33" s="27"/>
      <c r="L33" s="10"/>
      <c r="M33" s="10"/>
      <c r="N33" s="10"/>
      <c r="O33" s="22">
        <f t="shared" si="1"/>
        <v>552.90999999999985</v>
      </c>
    </row>
    <row r="34" spans="1:15" x14ac:dyDescent="0.2">
      <c r="A34" s="29"/>
      <c r="B34" s="27"/>
      <c r="C34" s="27"/>
      <c r="D34" s="10"/>
      <c r="E34" s="10"/>
      <c r="F34" s="10"/>
      <c r="G34" s="22">
        <f t="shared" si="0"/>
        <v>1496.12</v>
      </c>
      <c r="I34" s="29"/>
      <c r="J34" s="27"/>
      <c r="K34" s="27"/>
      <c r="L34" s="10"/>
      <c r="M34" s="10"/>
      <c r="N34" s="10"/>
      <c r="O34" s="22">
        <f t="shared" si="1"/>
        <v>552.90999999999985</v>
      </c>
    </row>
    <row r="35" spans="1:15" x14ac:dyDescent="0.2">
      <c r="A35" s="29"/>
      <c r="B35" s="27"/>
      <c r="C35" s="27"/>
      <c r="D35" s="10"/>
      <c r="E35" s="10"/>
      <c r="F35" s="10"/>
      <c r="G35" s="22">
        <f t="shared" si="0"/>
        <v>1496.12</v>
      </c>
      <c r="I35" s="29"/>
      <c r="J35" s="27"/>
      <c r="K35" s="27"/>
      <c r="L35" s="10"/>
      <c r="M35" s="10"/>
      <c r="N35" s="10"/>
      <c r="O35" s="22">
        <f t="shared" si="1"/>
        <v>552.90999999999985</v>
      </c>
    </row>
    <row r="36" spans="1:15" x14ac:dyDescent="0.2">
      <c r="A36" s="3"/>
      <c r="B36" s="4"/>
      <c r="C36" s="4"/>
      <c r="D36" s="5"/>
      <c r="E36" s="5"/>
      <c r="F36" s="5"/>
      <c r="G36" s="18"/>
      <c r="I36" s="3"/>
      <c r="J36" s="4"/>
      <c r="K36" s="4"/>
      <c r="L36" s="5"/>
      <c r="M36" s="5"/>
      <c r="N36" s="5"/>
      <c r="O36" s="18"/>
    </row>
    <row r="37" spans="1:15" ht="13.5" thickBot="1" x14ac:dyDescent="0.25">
      <c r="A37" s="8" t="s">
        <v>3</v>
      </c>
      <c r="B37" s="6"/>
      <c r="C37" s="6"/>
      <c r="D37" s="13"/>
      <c r="E37" s="7"/>
      <c r="F37" s="7"/>
      <c r="G37" s="212">
        <f>G35</f>
        <v>1496.12</v>
      </c>
      <c r="I37" s="8" t="s">
        <v>3</v>
      </c>
      <c r="J37" s="6"/>
      <c r="K37" s="6"/>
      <c r="L37" s="13"/>
      <c r="M37" s="7"/>
      <c r="N37" s="7"/>
      <c r="O37" s="212">
        <f>O35</f>
        <v>552.90999999999985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5" type="noConversion"/>
  <hyperlinks>
    <hyperlink ref="H1" location="Overall!A1" display="HOME" xr:uid="{00000000-0004-0000-1F00-000000000000}"/>
  </hyperlinks>
  <pageMargins left="0.75" right="0.75" top="1" bottom="1" header="0.5" footer="0.5"/>
  <pageSetup scale="9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9"/>
  <dimension ref="A1:O30"/>
  <sheetViews>
    <sheetView topLeftCell="C1"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1.7109375" customWidth="1"/>
    <col min="3" max="3" width="32.7109375" customWidth="1"/>
    <col min="4" max="4" width="13.42578125" customWidth="1"/>
    <col min="5" max="5" width="5.42578125" bestFit="1" customWidth="1"/>
    <col min="6" max="6" width="10.28515625" bestFit="1" customWidth="1"/>
    <col min="7" max="7" width="12.140625" customWidth="1"/>
    <col min="9" max="9" width="11.5703125" bestFit="1" customWidth="1"/>
    <col min="10" max="10" width="11.7109375" customWidth="1"/>
    <col min="11" max="11" width="32.7109375" customWidth="1"/>
    <col min="12" max="12" width="13.42578125" customWidth="1"/>
    <col min="13" max="13" width="5.42578125" bestFit="1" customWidth="1"/>
    <col min="14" max="14" width="10.28515625" bestFit="1" customWidth="1"/>
    <col min="15" max="15" width="12.1406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57</v>
      </c>
      <c r="B4" s="363"/>
      <c r="C4" s="363"/>
      <c r="D4" s="363"/>
      <c r="E4" s="363"/>
      <c r="F4" s="363"/>
      <c r="G4" s="364"/>
      <c r="I4" s="362" t="s">
        <v>57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16"/>
      <c r="J8" s="9"/>
      <c r="K8" s="9" t="s">
        <v>75</v>
      </c>
      <c r="L8" s="15"/>
      <c r="M8" s="10"/>
      <c r="N8" s="52"/>
      <c r="O8" s="249">
        <f>L8</f>
        <v>0</v>
      </c>
    </row>
    <row r="9" spans="1:15" x14ac:dyDescent="0.2">
      <c r="A9" s="14"/>
      <c r="B9" s="9"/>
      <c r="C9" s="63"/>
      <c r="D9" s="15"/>
      <c r="E9" s="10"/>
      <c r="F9" s="52"/>
      <c r="G9" s="26">
        <f t="shared" ref="G9:G28" si="0">SUM(G8+D9-E9-F9)</f>
        <v>0</v>
      </c>
      <c r="I9" s="14"/>
      <c r="J9" s="9"/>
      <c r="K9" s="63"/>
      <c r="L9" s="15"/>
      <c r="M9" s="10"/>
      <c r="N9" s="52"/>
      <c r="O9" s="26">
        <f t="shared" ref="O9:O28" si="1">SUM(O8+L9-M9-N9)</f>
        <v>0</v>
      </c>
    </row>
    <row r="10" spans="1:15" x14ac:dyDescent="0.2">
      <c r="A10" s="14"/>
      <c r="B10" s="9"/>
      <c r="C10" s="9"/>
      <c r="D10" s="15"/>
      <c r="E10" s="10"/>
      <c r="F10" s="52"/>
      <c r="G10" s="26">
        <f t="shared" si="0"/>
        <v>0</v>
      </c>
      <c r="I10" s="14"/>
      <c r="J10" s="9"/>
      <c r="K10" s="63"/>
      <c r="L10" s="15"/>
      <c r="M10" s="10"/>
      <c r="N10" s="52"/>
      <c r="O10" s="26">
        <f t="shared" si="1"/>
        <v>0</v>
      </c>
    </row>
    <row r="11" spans="1:15" x14ac:dyDescent="0.2">
      <c r="A11" s="14"/>
      <c r="B11" s="58"/>
      <c r="C11" s="63"/>
      <c r="D11" s="15"/>
      <c r="E11" s="10"/>
      <c r="F11" s="52"/>
      <c r="G11" s="26">
        <f t="shared" si="0"/>
        <v>0</v>
      </c>
      <c r="I11" s="14"/>
      <c r="J11" s="63"/>
      <c r="K11" s="63"/>
      <c r="L11" s="15"/>
      <c r="M11" s="10"/>
      <c r="N11" s="52"/>
      <c r="O11" s="26">
        <f t="shared" si="1"/>
        <v>0</v>
      </c>
    </row>
    <row r="12" spans="1:15" x14ac:dyDescent="0.2">
      <c r="A12" s="14"/>
      <c r="B12" s="9"/>
      <c r="C12" s="63"/>
      <c r="D12" s="15"/>
      <c r="E12" s="10"/>
      <c r="F12" s="52"/>
      <c r="G12" s="26">
        <f t="shared" si="0"/>
        <v>0</v>
      </c>
      <c r="I12" s="14"/>
      <c r="J12" s="63"/>
      <c r="K12" s="63"/>
      <c r="L12" s="15"/>
      <c r="M12" s="10"/>
      <c r="N12" s="52"/>
      <c r="O12" s="26">
        <f t="shared" si="1"/>
        <v>0</v>
      </c>
    </row>
    <row r="13" spans="1:15" x14ac:dyDescent="0.2">
      <c r="A13" s="14"/>
      <c r="B13" s="9"/>
      <c r="C13" s="9"/>
      <c r="D13" s="15"/>
      <c r="E13" s="10"/>
      <c r="F13" s="52"/>
      <c r="G13" s="26">
        <f t="shared" si="0"/>
        <v>0</v>
      </c>
      <c r="I13" s="14"/>
      <c r="J13" s="9"/>
      <c r="K13" s="63"/>
      <c r="L13" s="15"/>
      <c r="M13" s="10"/>
      <c r="N13" s="52"/>
      <c r="O13" s="26">
        <f t="shared" si="1"/>
        <v>0</v>
      </c>
    </row>
    <row r="14" spans="1:15" x14ac:dyDescent="0.2">
      <c r="A14" s="14"/>
      <c r="B14" s="9"/>
      <c r="C14" s="9"/>
      <c r="D14" s="15"/>
      <c r="E14" s="10"/>
      <c r="F14" s="52"/>
      <c r="G14" s="26">
        <f t="shared" si="0"/>
        <v>0</v>
      </c>
      <c r="I14" s="14"/>
      <c r="J14" s="63"/>
      <c r="K14" s="63"/>
      <c r="L14" s="15"/>
      <c r="M14" s="10"/>
      <c r="N14" s="15"/>
      <c r="O14" s="26">
        <f t="shared" si="1"/>
        <v>0</v>
      </c>
    </row>
    <row r="15" spans="1:15" x14ac:dyDescent="0.2">
      <c r="A15" s="14"/>
      <c r="B15" s="9"/>
      <c r="C15" s="9"/>
      <c r="D15" s="15"/>
      <c r="E15" s="10"/>
      <c r="F15" s="52"/>
      <c r="G15" s="26">
        <f t="shared" si="0"/>
        <v>0</v>
      </c>
      <c r="I15" s="14"/>
      <c r="J15" s="9"/>
      <c r="K15" s="9"/>
      <c r="L15" s="15"/>
      <c r="M15" s="10"/>
      <c r="N15" s="52"/>
      <c r="O15" s="26">
        <f t="shared" si="1"/>
        <v>0</v>
      </c>
    </row>
    <row r="16" spans="1:15" x14ac:dyDescent="0.2">
      <c r="A16" s="14"/>
      <c r="B16" s="9"/>
      <c r="C16" s="9"/>
      <c r="D16" s="15"/>
      <c r="E16" s="10"/>
      <c r="F16" s="52"/>
      <c r="G16" s="26">
        <f t="shared" si="0"/>
        <v>0</v>
      </c>
      <c r="I16" s="14"/>
      <c r="J16" s="9"/>
      <c r="K16" s="9"/>
      <c r="L16" s="15"/>
      <c r="M16" s="10"/>
      <c r="N16" s="52"/>
      <c r="O16" s="26">
        <f t="shared" si="1"/>
        <v>0</v>
      </c>
    </row>
    <row r="17" spans="1:15" x14ac:dyDescent="0.2">
      <c r="A17" s="14"/>
      <c r="B17" s="9"/>
      <c r="C17" s="9"/>
      <c r="D17" s="15"/>
      <c r="E17" s="10"/>
      <c r="F17" s="52"/>
      <c r="G17" s="26">
        <f t="shared" si="0"/>
        <v>0</v>
      </c>
      <c r="I17" s="14"/>
      <c r="J17" s="9"/>
      <c r="K17" s="9"/>
      <c r="L17" s="15"/>
      <c r="M17" s="10"/>
      <c r="N17" s="52"/>
      <c r="O17" s="26">
        <f t="shared" si="1"/>
        <v>0</v>
      </c>
    </row>
    <row r="18" spans="1:15" x14ac:dyDescent="0.2">
      <c r="A18" s="14"/>
      <c r="B18" s="9"/>
      <c r="C18" s="9"/>
      <c r="D18" s="15"/>
      <c r="E18" s="10"/>
      <c r="F18" s="52"/>
      <c r="G18" s="26">
        <f t="shared" si="0"/>
        <v>0</v>
      </c>
      <c r="I18" s="14"/>
      <c r="J18" s="9"/>
      <c r="K18" s="9"/>
      <c r="L18" s="15"/>
      <c r="M18" s="10"/>
      <c r="N18" s="52"/>
      <c r="O18" s="26">
        <f t="shared" si="1"/>
        <v>0</v>
      </c>
    </row>
    <row r="19" spans="1:15" x14ac:dyDescent="0.2">
      <c r="A19" s="16"/>
      <c r="B19" s="9"/>
      <c r="C19" s="9"/>
      <c r="D19" s="15"/>
      <c r="E19" s="10"/>
      <c r="F19" s="52"/>
      <c r="G19" s="26">
        <f t="shared" si="0"/>
        <v>0</v>
      </c>
      <c r="I19" s="16"/>
      <c r="J19" s="9"/>
      <c r="K19" s="9"/>
      <c r="L19" s="15"/>
      <c r="M19" s="10"/>
      <c r="N19" s="52"/>
      <c r="O19" s="26">
        <f t="shared" si="1"/>
        <v>0</v>
      </c>
    </row>
    <row r="20" spans="1:15" x14ac:dyDescent="0.2">
      <c r="A20" s="14"/>
      <c r="B20" s="9"/>
      <c r="C20" s="63"/>
      <c r="D20" s="15"/>
      <c r="E20" s="10"/>
      <c r="F20" s="52"/>
      <c r="G20" s="26">
        <f t="shared" si="0"/>
        <v>0</v>
      </c>
      <c r="I20" s="14"/>
      <c r="J20" s="9"/>
      <c r="K20" s="63"/>
      <c r="L20" s="15"/>
      <c r="M20" s="10"/>
      <c r="N20" s="52"/>
      <c r="O20" s="26">
        <f t="shared" si="1"/>
        <v>0</v>
      </c>
    </row>
    <row r="21" spans="1:15" x14ac:dyDescent="0.2">
      <c r="A21" s="14"/>
      <c r="B21" s="9"/>
      <c r="C21" s="63"/>
      <c r="D21" s="15"/>
      <c r="E21" s="10"/>
      <c r="F21" s="52"/>
      <c r="G21" s="26">
        <f t="shared" si="0"/>
        <v>0</v>
      </c>
      <c r="I21" s="14"/>
      <c r="J21" s="9"/>
      <c r="K21" s="63"/>
      <c r="L21" s="15"/>
      <c r="M21" s="10"/>
      <c r="N21" s="52"/>
      <c r="O21" s="26">
        <f t="shared" si="1"/>
        <v>0</v>
      </c>
    </row>
    <row r="22" spans="1:15" x14ac:dyDescent="0.2">
      <c r="A22" s="14"/>
      <c r="B22" s="63"/>
      <c r="C22" s="63"/>
      <c r="D22" s="15"/>
      <c r="E22" s="10"/>
      <c r="F22" s="52"/>
      <c r="G22" s="26">
        <f t="shared" si="0"/>
        <v>0</v>
      </c>
      <c r="I22" s="14"/>
      <c r="J22" s="63"/>
      <c r="K22" s="63"/>
      <c r="L22" s="15"/>
      <c r="M22" s="10"/>
      <c r="N22" s="52"/>
      <c r="O22" s="26">
        <f t="shared" si="1"/>
        <v>0</v>
      </c>
    </row>
    <row r="23" spans="1:15" x14ac:dyDescent="0.2">
      <c r="A23" s="14"/>
      <c r="B23" s="63"/>
      <c r="C23" s="63"/>
      <c r="D23" s="15"/>
      <c r="E23" s="10"/>
      <c r="F23" s="52"/>
      <c r="G23" s="26">
        <f t="shared" si="0"/>
        <v>0</v>
      </c>
      <c r="I23" s="14"/>
      <c r="J23" s="63"/>
      <c r="K23" s="63"/>
      <c r="L23" s="15"/>
      <c r="M23" s="10"/>
      <c r="N23" s="52"/>
      <c r="O23" s="26">
        <f t="shared" si="1"/>
        <v>0</v>
      </c>
    </row>
    <row r="24" spans="1:15" x14ac:dyDescent="0.2">
      <c r="A24" s="14"/>
      <c r="B24" s="9"/>
      <c r="C24" s="63"/>
      <c r="D24" s="15"/>
      <c r="E24" s="10"/>
      <c r="F24" s="52"/>
      <c r="G24" s="26">
        <f t="shared" si="0"/>
        <v>0</v>
      </c>
      <c r="I24" s="14"/>
      <c r="J24" s="9"/>
      <c r="K24" s="63"/>
      <c r="L24" s="15"/>
      <c r="M24" s="10"/>
      <c r="N24" s="52"/>
      <c r="O24" s="26">
        <f t="shared" si="1"/>
        <v>0</v>
      </c>
    </row>
    <row r="25" spans="1:15" x14ac:dyDescent="0.2">
      <c r="A25" s="14"/>
      <c r="B25" s="63"/>
      <c r="C25" s="63"/>
      <c r="D25" s="15"/>
      <c r="E25" s="10"/>
      <c r="F25" s="15"/>
      <c r="G25" s="26">
        <f t="shared" si="0"/>
        <v>0</v>
      </c>
      <c r="I25" s="14"/>
      <c r="J25" s="63"/>
      <c r="K25" s="63"/>
      <c r="L25" s="15"/>
      <c r="M25" s="10"/>
      <c r="N25" s="15"/>
      <c r="O25" s="26">
        <f t="shared" si="1"/>
        <v>0</v>
      </c>
    </row>
    <row r="26" spans="1:15" x14ac:dyDescent="0.2">
      <c r="A26" s="29"/>
      <c r="B26" s="27"/>
      <c r="C26" s="27"/>
      <c r="D26" s="10"/>
      <c r="E26" s="10"/>
      <c r="F26" s="15"/>
      <c r="G26" s="35">
        <f t="shared" si="0"/>
        <v>0</v>
      </c>
      <c r="I26" s="29"/>
      <c r="J26" s="27"/>
      <c r="K26" s="27"/>
      <c r="L26" s="10"/>
      <c r="M26" s="10"/>
      <c r="N26" s="15"/>
      <c r="O26" s="35">
        <f t="shared" si="1"/>
        <v>0</v>
      </c>
    </row>
    <row r="27" spans="1:15" x14ac:dyDescent="0.2">
      <c r="A27" s="29"/>
      <c r="B27" s="27"/>
      <c r="C27" s="27"/>
      <c r="D27" s="10"/>
      <c r="E27" s="10"/>
      <c r="F27" s="15"/>
      <c r="G27" s="35">
        <f t="shared" si="0"/>
        <v>0</v>
      </c>
      <c r="I27" s="29"/>
      <c r="J27" s="27"/>
      <c r="K27" s="27"/>
      <c r="L27" s="10"/>
      <c r="M27" s="10"/>
      <c r="N27" s="15"/>
      <c r="O27" s="35">
        <f t="shared" si="1"/>
        <v>0</v>
      </c>
    </row>
    <row r="28" spans="1:15" ht="13.5" thickBot="1" x14ac:dyDescent="0.25">
      <c r="A28" s="34"/>
      <c r="B28" s="32"/>
      <c r="C28" s="32"/>
      <c r="D28" s="33"/>
      <c r="E28" s="33"/>
      <c r="F28" s="38"/>
      <c r="G28" s="39">
        <f t="shared" si="0"/>
        <v>0</v>
      </c>
      <c r="I28" s="34"/>
      <c r="J28" s="32"/>
      <c r="K28" s="32"/>
      <c r="L28" s="33"/>
      <c r="M28" s="33"/>
      <c r="N28" s="38"/>
      <c r="O28" s="39">
        <f t="shared" si="1"/>
        <v>0</v>
      </c>
    </row>
    <row r="29" spans="1:15" ht="13.5" thickTop="1" x14ac:dyDescent="0.2">
      <c r="A29" s="3"/>
      <c r="B29" s="4"/>
      <c r="C29" s="4"/>
      <c r="D29" s="5"/>
      <c r="E29" s="5"/>
      <c r="F29" s="5"/>
      <c r="G29" s="18"/>
      <c r="I29" s="3"/>
      <c r="J29" s="4"/>
      <c r="K29" s="4"/>
      <c r="L29" s="5"/>
      <c r="M29" s="5"/>
      <c r="N29" s="5"/>
      <c r="O29" s="18"/>
    </row>
    <row r="30" spans="1:15" ht="13.5" thickBot="1" x14ac:dyDescent="0.25">
      <c r="A30" s="8" t="s">
        <v>3</v>
      </c>
      <c r="B30" s="6"/>
      <c r="C30" s="6"/>
      <c r="D30" s="13"/>
      <c r="E30" s="7"/>
      <c r="F30" s="7"/>
      <c r="G30" s="212">
        <f>G28</f>
        <v>0</v>
      </c>
      <c r="I30" s="8" t="s">
        <v>3</v>
      </c>
      <c r="J30" s="6"/>
      <c r="K30" s="6"/>
      <c r="L30" s="13"/>
      <c r="M30" s="7"/>
      <c r="N30" s="7"/>
      <c r="O30" s="212">
        <f>O28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30"/>
  <sheetViews>
    <sheetView workbookViewId="0">
      <selection activeCell="H1" sqref="H1"/>
    </sheetView>
  </sheetViews>
  <sheetFormatPr defaultRowHeight="12.75" x14ac:dyDescent="0.2"/>
  <cols>
    <col min="3" max="3" width="21.7109375" bestFit="1" customWidth="1"/>
    <col min="11" max="11" width="26.710937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93</v>
      </c>
      <c r="B4" s="363"/>
      <c r="C4" s="363"/>
      <c r="D4" s="363"/>
      <c r="E4" s="363"/>
      <c r="F4" s="363"/>
      <c r="G4" s="364"/>
      <c r="I4" s="362" t="s">
        <v>93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183" t="s">
        <v>70</v>
      </c>
      <c r="D8" s="248"/>
      <c r="E8" s="248"/>
      <c r="F8" s="248"/>
      <c r="G8" s="249">
        <v>404.03</v>
      </c>
      <c r="I8" s="16"/>
      <c r="J8" s="9"/>
      <c r="K8" s="9" t="s">
        <v>75</v>
      </c>
      <c r="L8" s="15"/>
      <c r="M8" s="10"/>
      <c r="N8" s="52"/>
      <c r="O8" s="249">
        <v>107.35</v>
      </c>
    </row>
    <row r="9" spans="1:15" x14ac:dyDescent="0.2">
      <c r="A9" s="14"/>
      <c r="B9" s="9"/>
      <c r="C9" s="63"/>
      <c r="D9" s="15"/>
      <c r="E9" s="10"/>
      <c r="F9" s="52">
        <v>51.74</v>
      </c>
      <c r="G9" s="26">
        <f t="shared" ref="G9:G28" si="0">SUM(G8+D9-E9-F9)</f>
        <v>352.28999999999996</v>
      </c>
      <c r="I9" s="14"/>
      <c r="J9" s="9"/>
      <c r="K9" s="63"/>
      <c r="L9" s="15"/>
      <c r="M9" s="10"/>
      <c r="N9" s="52"/>
      <c r="O9" s="26">
        <f t="shared" ref="O9:O28" si="1">SUM(O8+L9-M9-N9)</f>
        <v>107.35</v>
      </c>
    </row>
    <row r="10" spans="1:15" x14ac:dyDescent="0.2">
      <c r="A10" s="14"/>
      <c r="B10" s="9"/>
      <c r="C10" s="9"/>
      <c r="D10" s="15"/>
      <c r="E10" s="10"/>
      <c r="F10" s="52"/>
      <c r="G10" s="26">
        <f t="shared" si="0"/>
        <v>352.28999999999996</v>
      </c>
      <c r="I10" s="14"/>
      <c r="J10" s="9"/>
      <c r="K10" s="63"/>
      <c r="L10" s="15"/>
      <c r="M10" s="10"/>
      <c r="N10" s="52"/>
      <c r="O10" s="26">
        <f t="shared" si="1"/>
        <v>107.35</v>
      </c>
    </row>
    <row r="11" spans="1:15" x14ac:dyDescent="0.2">
      <c r="A11" s="14"/>
      <c r="B11" s="58"/>
      <c r="C11" s="63"/>
      <c r="D11" s="15"/>
      <c r="E11" s="10"/>
      <c r="F11" s="52"/>
      <c r="G11" s="26">
        <f t="shared" si="0"/>
        <v>352.28999999999996</v>
      </c>
      <c r="I11" s="14"/>
      <c r="J11" s="63"/>
      <c r="K11" s="63"/>
      <c r="L11" s="15"/>
      <c r="M11" s="10"/>
      <c r="N11" s="52"/>
      <c r="O11" s="26">
        <f t="shared" si="1"/>
        <v>107.35</v>
      </c>
    </row>
    <row r="12" spans="1:15" x14ac:dyDescent="0.2">
      <c r="A12" s="14"/>
      <c r="B12" s="9"/>
      <c r="C12" s="63"/>
      <c r="D12" s="15"/>
      <c r="E12" s="10"/>
      <c r="F12" s="52"/>
      <c r="G12" s="26">
        <f t="shared" si="0"/>
        <v>352.28999999999996</v>
      </c>
      <c r="I12" s="14"/>
      <c r="J12" s="63"/>
      <c r="K12" s="63"/>
      <c r="L12" s="15"/>
      <c r="M12" s="10"/>
      <c r="N12" s="52"/>
      <c r="O12" s="26">
        <f t="shared" si="1"/>
        <v>107.35</v>
      </c>
    </row>
    <row r="13" spans="1:15" x14ac:dyDescent="0.2">
      <c r="A13" s="14"/>
      <c r="B13" s="9"/>
      <c r="C13" s="9"/>
      <c r="D13" s="15"/>
      <c r="E13" s="10"/>
      <c r="F13" s="52"/>
      <c r="G13" s="26">
        <f t="shared" si="0"/>
        <v>352.28999999999996</v>
      </c>
      <c r="I13" s="14"/>
      <c r="J13" s="9"/>
      <c r="K13" s="63"/>
      <c r="L13" s="15"/>
      <c r="M13" s="10"/>
      <c r="N13" s="52"/>
      <c r="O13" s="26">
        <f t="shared" si="1"/>
        <v>107.35</v>
      </c>
    </row>
    <row r="14" spans="1:15" x14ac:dyDescent="0.2">
      <c r="A14" s="14"/>
      <c r="B14" s="9"/>
      <c r="C14" s="9"/>
      <c r="D14" s="15"/>
      <c r="E14" s="10"/>
      <c r="F14" s="52"/>
      <c r="G14" s="26">
        <f t="shared" si="0"/>
        <v>352.28999999999996</v>
      </c>
      <c r="I14" s="14"/>
      <c r="J14" s="63"/>
      <c r="K14" s="63"/>
      <c r="L14" s="15"/>
      <c r="M14" s="10"/>
      <c r="N14" s="15"/>
      <c r="O14" s="26">
        <f t="shared" si="1"/>
        <v>107.35</v>
      </c>
    </row>
    <row r="15" spans="1:15" x14ac:dyDescent="0.2">
      <c r="A15" s="14"/>
      <c r="B15" s="9"/>
      <c r="C15" s="9"/>
      <c r="D15" s="15"/>
      <c r="E15" s="10"/>
      <c r="F15" s="52"/>
      <c r="G15" s="26">
        <f t="shared" si="0"/>
        <v>352.28999999999996</v>
      </c>
      <c r="I15" s="14"/>
      <c r="J15" s="9"/>
      <c r="K15" s="9"/>
      <c r="L15" s="15"/>
      <c r="M15" s="10"/>
      <c r="N15" s="52"/>
      <c r="O15" s="26">
        <f t="shared" si="1"/>
        <v>107.35</v>
      </c>
    </row>
    <row r="16" spans="1:15" x14ac:dyDescent="0.2">
      <c r="A16" s="14"/>
      <c r="B16" s="9"/>
      <c r="C16" s="9"/>
      <c r="D16" s="15"/>
      <c r="E16" s="10"/>
      <c r="F16" s="52"/>
      <c r="G16" s="26">
        <f t="shared" si="0"/>
        <v>352.28999999999996</v>
      </c>
      <c r="I16" s="14"/>
      <c r="J16" s="9"/>
      <c r="K16" s="9"/>
      <c r="L16" s="15"/>
      <c r="M16" s="10"/>
      <c r="N16" s="52"/>
      <c r="O16" s="26">
        <f t="shared" si="1"/>
        <v>107.35</v>
      </c>
    </row>
    <row r="17" spans="1:15" x14ac:dyDescent="0.2">
      <c r="A17" s="14"/>
      <c r="B17" s="9"/>
      <c r="C17" s="9"/>
      <c r="D17" s="15"/>
      <c r="E17" s="10"/>
      <c r="F17" s="52"/>
      <c r="G17" s="26">
        <f t="shared" si="0"/>
        <v>352.28999999999996</v>
      </c>
      <c r="I17" s="14"/>
      <c r="J17" s="9"/>
      <c r="K17" s="9"/>
      <c r="L17" s="15"/>
      <c r="M17" s="10"/>
      <c r="N17" s="52"/>
      <c r="O17" s="26">
        <f t="shared" si="1"/>
        <v>107.35</v>
      </c>
    </row>
    <row r="18" spans="1:15" x14ac:dyDescent="0.2">
      <c r="A18" s="14"/>
      <c r="B18" s="9"/>
      <c r="C18" s="9"/>
      <c r="D18" s="15"/>
      <c r="E18" s="10"/>
      <c r="F18" s="52"/>
      <c r="G18" s="26">
        <f t="shared" si="0"/>
        <v>352.28999999999996</v>
      </c>
      <c r="I18" s="14"/>
      <c r="J18" s="9"/>
      <c r="K18" s="9"/>
      <c r="L18" s="15"/>
      <c r="M18" s="10"/>
      <c r="N18" s="52"/>
      <c r="O18" s="26">
        <f t="shared" si="1"/>
        <v>107.35</v>
      </c>
    </row>
    <row r="19" spans="1:15" x14ac:dyDescent="0.2">
      <c r="A19" s="16"/>
      <c r="B19" s="9"/>
      <c r="C19" s="9"/>
      <c r="D19" s="15"/>
      <c r="E19" s="10"/>
      <c r="F19" s="52"/>
      <c r="G19" s="26">
        <f t="shared" si="0"/>
        <v>352.28999999999996</v>
      </c>
      <c r="I19" s="16"/>
      <c r="J19" s="9"/>
      <c r="K19" s="9"/>
      <c r="L19" s="15"/>
      <c r="M19" s="10"/>
      <c r="N19" s="52"/>
      <c r="O19" s="26">
        <f t="shared" si="1"/>
        <v>107.35</v>
      </c>
    </row>
    <row r="20" spans="1:15" x14ac:dyDescent="0.2">
      <c r="A20" s="14"/>
      <c r="B20" s="9"/>
      <c r="C20" s="63"/>
      <c r="D20" s="15"/>
      <c r="E20" s="10"/>
      <c r="F20" s="52"/>
      <c r="G20" s="26">
        <f t="shared" si="0"/>
        <v>352.28999999999996</v>
      </c>
      <c r="I20" s="14"/>
      <c r="J20" s="9"/>
      <c r="K20" s="63"/>
      <c r="L20" s="15"/>
      <c r="M20" s="10"/>
      <c r="N20" s="52"/>
      <c r="O20" s="26">
        <f t="shared" si="1"/>
        <v>107.35</v>
      </c>
    </row>
    <row r="21" spans="1:15" x14ac:dyDescent="0.2">
      <c r="A21" s="14"/>
      <c r="B21" s="9"/>
      <c r="C21" s="63"/>
      <c r="D21" s="15"/>
      <c r="E21" s="10"/>
      <c r="F21" s="52"/>
      <c r="G21" s="26">
        <f t="shared" si="0"/>
        <v>352.28999999999996</v>
      </c>
      <c r="I21" s="14"/>
      <c r="J21" s="9"/>
      <c r="K21" s="63"/>
      <c r="L21" s="15"/>
      <c r="M21" s="10"/>
      <c r="N21" s="52"/>
      <c r="O21" s="26">
        <f t="shared" si="1"/>
        <v>107.35</v>
      </c>
    </row>
    <row r="22" spans="1:15" x14ac:dyDescent="0.2">
      <c r="A22" s="14"/>
      <c r="B22" s="63"/>
      <c r="C22" s="63"/>
      <c r="D22" s="15"/>
      <c r="E22" s="10"/>
      <c r="F22" s="52"/>
      <c r="G22" s="26">
        <f t="shared" si="0"/>
        <v>352.28999999999996</v>
      </c>
      <c r="I22" s="14"/>
      <c r="J22" s="63"/>
      <c r="K22" s="63"/>
      <c r="L22" s="15"/>
      <c r="M22" s="10"/>
      <c r="N22" s="52"/>
      <c r="O22" s="26">
        <f t="shared" si="1"/>
        <v>107.35</v>
      </c>
    </row>
    <row r="23" spans="1:15" x14ac:dyDescent="0.2">
      <c r="A23" s="14"/>
      <c r="B23" s="63"/>
      <c r="C23" s="63"/>
      <c r="D23" s="15"/>
      <c r="E23" s="10"/>
      <c r="F23" s="52"/>
      <c r="G23" s="26">
        <f t="shared" si="0"/>
        <v>352.28999999999996</v>
      </c>
      <c r="I23" s="14"/>
      <c r="J23" s="63"/>
      <c r="K23" s="63"/>
      <c r="L23" s="15"/>
      <c r="M23" s="10"/>
      <c r="N23" s="52"/>
      <c r="O23" s="26">
        <f t="shared" si="1"/>
        <v>107.35</v>
      </c>
    </row>
    <row r="24" spans="1:15" x14ac:dyDescent="0.2">
      <c r="A24" s="14"/>
      <c r="B24" s="9"/>
      <c r="C24" s="63"/>
      <c r="D24" s="15"/>
      <c r="E24" s="10"/>
      <c r="F24" s="52"/>
      <c r="G24" s="26">
        <f t="shared" si="0"/>
        <v>352.28999999999996</v>
      </c>
      <c r="I24" s="14"/>
      <c r="J24" s="9"/>
      <c r="K24" s="63"/>
      <c r="L24" s="15"/>
      <c r="M24" s="10"/>
      <c r="N24" s="52"/>
      <c r="O24" s="26">
        <f t="shared" si="1"/>
        <v>107.35</v>
      </c>
    </row>
    <row r="25" spans="1:15" x14ac:dyDescent="0.2">
      <c r="A25" s="14"/>
      <c r="B25" s="63"/>
      <c r="C25" s="63"/>
      <c r="D25" s="15"/>
      <c r="E25" s="10"/>
      <c r="F25" s="15"/>
      <c r="G25" s="26">
        <f t="shared" si="0"/>
        <v>352.28999999999996</v>
      </c>
      <c r="I25" s="14"/>
      <c r="J25" s="63"/>
      <c r="K25" s="63"/>
      <c r="L25" s="15"/>
      <c r="M25" s="10"/>
      <c r="N25" s="15"/>
      <c r="O25" s="26">
        <f t="shared" si="1"/>
        <v>107.35</v>
      </c>
    </row>
    <row r="26" spans="1:15" x14ac:dyDescent="0.2">
      <c r="A26" s="29"/>
      <c r="B26" s="27"/>
      <c r="C26" s="27"/>
      <c r="D26" s="10"/>
      <c r="E26" s="10"/>
      <c r="F26" s="15"/>
      <c r="G26" s="35">
        <f t="shared" si="0"/>
        <v>352.28999999999996</v>
      </c>
      <c r="I26" s="29"/>
      <c r="J26" s="27"/>
      <c r="K26" s="27"/>
      <c r="L26" s="10"/>
      <c r="M26" s="10"/>
      <c r="N26" s="15"/>
      <c r="O26" s="35">
        <f t="shared" si="1"/>
        <v>107.35</v>
      </c>
    </row>
    <row r="27" spans="1:15" x14ac:dyDescent="0.2">
      <c r="A27" s="29"/>
      <c r="B27" s="27"/>
      <c r="C27" s="27"/>
      <c r="D27" s="10"/>
      <c r="E27" s="10"/>
      <c r="F27" s="15"/>
      <c r="G27" s="35">
        <f t="shared" si="0"/>
        <v>352.28999999999996</v>
      </c>
      <c r="I27" s="29"/>
      <c r="J27" s="27"/>
      <c r="K27" s="27"/>
      <c r="L27" s="10"/>
      <c r="M27" s="10"/>
      <c r="N27" s="15"/>
      <c r="O27" s="35">
        <f t="shared" si="1"/>
        <v>107.35</v>
      </c>
    </row>
    <row r="28" spans="1:15" ht="13.5" thickBot="1" x14ac:dyDescent="0.25">
      <c r="A28" s="34"/>
      <c r="B28" s="32"/>
      <c r="C28" s="32"/>
      <c r="D28" s="33"/>
      <c r="E28" s="33"/>
      <c r="F28" s="38"/>
      <c r="G28" s="39">
        <f t="shared" si="0"/>
        <v>352.28999999999996</v>
      </c>
      <c r="I28" s="34"/>
      <c r="J28" s="32"/>
      <c r="K28" s="32"/>
      <c r="L28" s="33"/>
      <c r="M28" s="33"/>
      <c r="N28" s="38"/>
      <c r="O28" s="39">
        <f t="shared" si="1"/>
        <v>107.35</v>
      </c>
    </row>
    <row r="29" spans="1:15" ht="13.5" thickTop="1" x14ac:dyDescent="0.2">
      <c r="A29" s="3"/>
      <c r="B29" s="4"/>
      <c r="C29" s="4"/>
      <c r="D29" s="5"/>
      <c r="E29" s="5"/>
      <c r="F29" s="5"/>
      <c r="G29" s="18"/>
      <c r="I29" s="3"/>
      <c r="J29" s="4"/>
      <c r="K29" s="4"/>
      <c r="L29" s="5"/>
      <c r="M29" s="5"/>
      <c r="N29" s="5"/>
      <c r="O29" s="18"/>
    </row>
    <row r="30" spans="1:15" ht="13.5" thickBot="1" x14ac:dyDescent="0.25">
      <c r="A30" s="8" t="s">
        <v>3</v>
      </c>
      <c r="B30" s="6"/>
      <c r="C30" s="6"/>
      <c r="D30" s="13"/>
      <c r="E30" s="7"/>
      <c r="F30" s="7"/>
      <c r="G30" s="212">
        <f>G28</f>
        <v>352.28999999999996</v>
      </c>
      <c r="I30" s="8" t="s">
        <v>3</v>
      </c>
      <c r="J30" s="6"/>
      <c r="K30" s="6"/>
      <c r="L30" s="13"/>
      <c r="M30" s="7"/>
      <c r="N30" s="7"/>
      <c r="O30" s="212">
        <f>O28</f>
        <v>107.35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0"/>
  <dimension ref="A1:O28"/>
  <sheetViews>
    <sheetView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3" customWidth="1"/>
    <col min="3" max="3" width="28.140625" customWidth="1"/>
    <col min="4" max="4" width="13.42578125" customWidth="1"/>
    <col min="5" max="5" width="5.42578125" bestFit="1" customWidth="1"/>
    <col min="6" max="6" width="10.28515625" bestFit="1" customWidth="1"/>
    <col min="7" max="7" width="12.140625" customWidth="1"/>
    <col min="9" max="9" width="11.5703125" bestFit="1" customWidth="1"/>
    <col min="10" max="10" width="13" customWidth="1"/>
    <col min="11" max="11" width="28.140625" customWidth="1"/>
    <col min="12" max="12" width="13.42578125" customWidth="1"/>
    <col min="13" max="13" width="5.42578125" bestFit="1" customWidth="1"/>
    <col min="14" max="14" width="10.28515625" bestFit="1" customWidth="1"/>
    <col min="15" max="15" width="12.14062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58</v>
      </c>
      <c r="B4" s="363"/>
      <c r="C4" s="363"/>
      <c r="D4" s="363"/>
      <c r="E4" s="363"/>
      <c r="F4" s="363"/>
      <c r="G4" s="364"/>
      <c r="I4" s="362" t="s">
        <v>58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2773.82</v>
      </c>
      <c r="I8" s="247"/>
      <c r="J8" s="238"/>
      <c r="K8" s="238" t="s">
        <v>74</v>
      </c>
      <c r="L8" s="248"/>
      <c r="M8" s="248"/>
      <c r="N8" s="248"/>
      <c r="O8" s="249">
        <f>L8</f>
        <v>0</v>
      </c>
    </row>
    <row r="9" spans="1:15" x14ac:dyDescent="0.2">
      <c r="A9" s="14"/>
      <c r="B9" s="9"/>
      <c r="C9" s="63"/>
      <c r="D9" s="15"/>
      <c r="E9" s="10"/>
      <c r="F9" s="52"/>
      <c r="G9" s="26">
        <f t="shared" ref="G9:G26" si="0">SUM(G8+D9-E9-F9)</f>
        <v>2773.82</v>
      </c>
      <c r="I9" s="14"/>
      <c r="J9" s="9"/>
      <c r="K9" s="63"/>
      <c r="L9" s="15"/>
      <c r="M9" s="10"/>
      <c r="N9" s="52"/>
      <c r="O9" s="26">
        <f t="shared" ref="O9:O26" si="1">SUM(O8+L9-M9-N9)</f>
        <v>0</v>
      </c>
    </row>
    <row r="10" spans="1:15" x14ac:dyDescent="0.2">
      <c r="A10" s="14"/>
      <c r="B10" s="9"/>
      <c r="C10" s="63"/>
      <c r="D10" s="15"/>
      <c r="E10" s="10"/>
      <c r="F10" s="52"/>
      <c r="G10" s="26">
        <f t="shared" si="0"/>
        <v>2773.82</v>
      </c>
      <c r="I10" s="14"/>
      <c r="J10" s="9"/>
      <c r="K10" s="63"/>
      <c r="L10" s="15"/>
      <c r="M10" s="10"/>
      <c r="N10" s="52"/>
      <c r="O10" s="26">
        <f t="shared" si="1"/>
        <v>0</v>
      </c>
    </row>
    <row r="11" spans="1:15" x14ac:dyDescent="0.2">
      <c r="A11" s="14"/>
      <c r="B11" s="9"/>
      <c r="C11" s="63"/>
      <c r="D11" s="15"/>
      <c r="E11" s="10"/>
      <c r="F11" s="52"/>
      <c r="G11" s="26">
        <f t="shared" si="0"/>
        <v>2773.82</v>
      </c>
      <c r="I11" s="14"/>
      <c r="J11" s="9"/>
      <c r="K11" s="9"/>
      <c r="L11" s="15"/>
      <c r="M11" s="10"/>
      <c r="N11" s="52"/>
      <c r="O11" s="26">
        <f t="shared" si="1"/>
        <v>0</v>
      </c>
    </row>
    <row r="12" spans="1:15" x14ac:dyDescent="0.2">
      <c r="A12" s="14"/>
      <c r="B12" s="9"/>
      <c r="C12" s="9"/>
      <c r="D12" s="15"/>
      <c r="E12" s="10"/>
      <c r="F12" s="52"/>
      <c r="G12" s="26">
        <f t="shared" si="0"/>
        <v>2773.82</v>
      </c>
      <c r="I12" s="14"/>
      <c r="J12" s="9"/>
      <c r="K12" s="9"/>
      <c r="L12" s="15"/>
      <c r="M12" s="10"/>
      <c r="N12" s="52"/>
      <c r="O12" s="26">
        <f t="shared" si="1"/>
        <v>0</v>
      </c>
    </row>
    <row r="13" spans="1:15" x14ac:dyDescent="0.2">
      <c r="A13" s="14"/>
      <c r="B13" s="9"/>
      <c r="C13" s="9"/>
      <c r="D13" s="15"/>
      <c r="E13" s="10"/>
      <c r="F13" s="52"/>
      <c r="G13" s="26">
        <f t="shared" si="0"/>
        <v>2773.82</v>
      </c>
      <c r="I13" s="14"/>
      <c r="J13" s="9"/>
      <c r="K13" s="9"/>
      <c r="L13" s="15"/>
      <c r="M13" s="10"/>
      <c r="N13" s="52"/>
      <c r="O13" s="26">
        <f t="shared" si="1"/>
        <v>0</v>
      </c>
    </row>
    <row r="14" spans="1:15" x14ac:dyDescent="0.2">
      <c r="A14" s="29"/>
      <c r="B14" s="27"/>
      <c r="C14" s="27"/>
      <c r="D14" s="10"/>
      <c r="E14" s="10"/>
      <c r="F14" s="15"/>
      <c r="G14" s="26">
        <f t="shared" si="0"/>
        <v>2773.82</v>
      </c>
      <c r="I14" s="29"/>
      <c r="J14" s="27"/>
      <c r="K14" s="27"/>
      <c r="L14" s="10"/>
      <c r="M14" s="10"/>
      <c r="N14" s="15"/>
      <c r="O14" s="26">
        <f t="shared" si="1"/>
        <v>0</v>
      </c>
    </row>
    <row r="15" spans="1:15" x14ac:dyDescent="0.2">
      <c r="A15" s="29"/>
      <c r="B15" s="27"/>
      <c r="C15" s="27"/>
      <c r="D15" s="10"/>
      <c r="E15" s="10"/>
      <c r="F15" s="15"/>
      <c r="G15" s="26">
        <f t="shared" si="0"/>
        <v>2773.82</v>
      </c>
      <c r="I15" s="29"/>
      <c r="J15" s="27"/>
      <c r="K15" s="27"/>
      <c r="L15" s="10"/>
      <c r="M15" s="10"/>
      <c r="N15" s="15"/>
      <c r="O15" s="26">
        <f t="shared" si="1"/>
        <v>0</v>
      </c>
    </row>
    <row r="16" spans="1:15" x14ac:dyDescent="0.2">
      <c r="A16" s="29"/>
      <c r="B16" s="27"/>
      <c r="C16" s="27"/>
      <c r="D16" s="10"/>
      <c r="E16" s="10"/>
      <c r="F16" s="15"/>
      <c r="G16" s="26">
        <f t="shared" si="0"/>
        <v>2773.82</v>
      </c>
      <c r="I16" s="29"/>
      <c r="J16" s="27"/>
      <c r="K16" s="27"/>
      <c r="L16" s="10"/>
      <c r="M16" s="10"/>
      <c r="N16" s="15"/>
      <c r="O16" s="26">
        <f t="shared" si="1"/>
        <v>0</v>
      </c>
    </row>
    <row r="17" spans="1:15" x14ac:dyDescent="0.2">
      <c r="A17" s="29"/>
      <c r="B17" s="27"/>
      <c r="C17" s="27"/>
      <c r="D17" s="10"/>
      <c r="E17" s="10"/>
      <c r="F17" s="15"/>
      <c r="G17" s="26">
        <f t="shared" si="0"/>
        <v>2773.82</v>
      </c>
      <c r="I17" s="29"/>
      <c r="J17" s="27"/>
      <c r="K17" s="27"/>
      <c r="L17" s="10"/>
      <c r="M17" s="10"/>
      <c r="N17" s="15"/>
      <c r="O17" s="26">
        <f t="shared" si="1"/>
        <v>0</v>
      </c>
    </row>
    <row r="18" spans="1:15" x14ac:dyDescent="0.2">
      <c r="A18" s="29"/>
      <c r="B18" s="27"/>
      <c r="C18" s="27"/>
      <c r="D18" s="10"/>
      <c r="E18" s="10"/>
      <c r="F18" s="15"/>
      <c r="G18" s="35">
        <f t="shared" si="0"/>
        <v>2773.82</v>
      </c>
      <c r="I18" s="29"/>
      <c r="J18" s="27"/>
      <c r="K18" s="27"/>
      <c r="L18" s="10"/>
      <c r="M18" s="10"/>
      <c r="N18" s="15"/>
      <c r="O18" s="35">
        <f t="shared" si="1"/>
        <v>0</v>
      </c>
    </row>
    <row r="19" spans="1:15" x14ac:dyDescent="0.2">
      <c r="A19" s="29"/>
      <c r="B19" s="27"/>
      <c r="C19" s="27"/>
      <c r="D19" s="10"/>
      <c r="E19" s="10"/>
      <c r="F19" s="15"/>
      <c r="G19" s="35">
        <f t="shared" si="0"/>
        <v>2773.82</v>
      </c>
      <c r="I19" s="29"/>
      <c r="J19" s="27"/>
      <c r="K19" s="27"/>
      <c r="L19" s="10"/>
      <c r="M19" s="10"/>
      <c r="N19" s="15"/>
      <c r="O19" s="35">
        <f t="shared" si="1"/>
        <v>0</v>
      </c>
    </row>
    <row r="20" spans="1:15" x14ac:dyDescent="0.2">
      <c r="A20" s="29"/>
      <c r="B20" s="27"/>
      <c r="C20" s="27"/>
      <c r="D20" s="10"/>
      <c r="E20" s="10"/>
      <c r="F20" s="15"/>
      <c r="G20" s="35">
        <f t="shared" si="0"/>
        <v>2773.82</v>
      </c>
      <c r="I20" s="29"/>
      <c r="J20" s="27"/>
      <c r="K20" s="27"/>
      <c r="L20" s="10"/>
      <c r="M20" s="10"/>
      <c r="N20" s="15"/>
      <c r="O20" s="35">
        <f t="shared" si="1"/>
        <v>0</v>
      </c>
    </row>
    <row r="21" spans="1:15" x14ac:dyDescent="0.2">
      <c r="A21" s="29"/>
      <c r="B21" s="27"/>
      <c r="C21" s="27"/>
      <c r="D21" s="10"/>
      <c r="E21" s="10"/>
      <c r="F21" s="15"/>
      <c r="G21" s="35">
        <f t="shared" si="0"/>
        <v>2773.82</v>
      </c>
      <c r="I21" s="29"/>
      <c r="J21" s="27"/>
      <c r="K21" s="27"/>
      <c r="L21" s="10"/>
      <c r="M21" s="10"/>
      <c r="N21" s="15"/>
      <c r="O21" s="35">
        <f t="shared" si="1"/>
        <v>0</v>
      </c>
    </row>
    <row r="22" spans="1:15" x14ac:dyDescent="0.2">
      <c r="A22" s="29"/>
      <c r="B22" s="27"/>
      <c r="C22" s="27"/>
      <c r="D22" s="10"/>
      <c r="E22" s="10"/>
      <c r="F22" s="15"/>
      <c r="G22" s="35">
        <f t="shared" si="0"/>
        <v>2773.82</v>
      </c>
      <c r="I22" s="29"/>
      <c r="J22" s="27"/>
      <c r="K22" s="27"/>
      <c r="L22" s="10"/>
      <c r="M22" s="10"/>
      <c r="N22" s="15"/>
      <c r="O22" s="35">
        <f t="shared" si="1"/>
        <v>0</v>
      </c>
    </row>
    <row r="23" spans="1:15" x14ac:dyDescent="0.2">
      <c r="A23" s="29"/>
      <c r="B23" s="27"/>
      <c r="C23" s="27"/>
      <c r="D23" s="10"/>
      <c r="E23" s="10"/>
      <c r="F23" s="15"/>
      <c r="G23" s="35">
        <f t="shared" si="0"/>
        <v>2773.82</v>
      </c>
      <c r="I23" s="29"/>
      <c r="J23" s="27"/>
      <c r="K23" s="27"/>
      <c r="L23" s="10"/>
      <c r="M23" s="10"/>
      <c r="N23" s="15"/>
      <c r="O23" s="35">
        <f t="shared" si="1"/>
        <v>0</v>
      </c>
    </row>
    <row r="24" spans="1:15" x14ac:dyDescent="0.2">
      <c r="A24" s="29"/>
      <c r="B24" s="27"/>
      <c r="C24" s="27"/>
      <c r="D24" s="10"/>
      <c r="E24" s="10"/>
      <c r="F24" s="15"/>
      <c r="G24" s="35">
        <f t="shared" si="0"/>
        <v>2773.82</v>
      </c>
      <c r="I24" s="29"/>
      <c r="J24" s="27"/>
      <c r="K24" s="27"/>
      <c r="L24" s="10"/>
      <c r="M24" s="10"/>
      <c r="N24" s="15"/>
      <c r="O24" s="35">
        <f t="shared" si="1"/>
        <v>0</v>
      </c>
    </row>
    <row r="25" spans="1:15" x14ac:dyDescent="0.2">
      <c r="A25" s="29"/>
      <c r="B25" s="27"/>
      <c r="C25" s="27"/>
      <c r="D25" s="10"/>
      <c r="E25" s="10"/>
      <c r="F25" s="15"/>
      <c r="G25" s="35">
        <f t="shared" si="0"/>
        <v>2773.82</v>
      </c>
      <c r="I25" s="29"/>
      <c r="J25" s="27"/>
      <c r="K25" s="27"/>
      <c r="L25" s="10"/>
      <c r="M25" s="10"/>
      <c r="N25" s="15"/>
      <c r="O25" s="35">
        <f t="shared" si="1"/>
        <v>0</v>
      </c>
    </row>
    <row r="26" spans="1:15" ht="13.5" thickBot="1" x14ac:dyDescent="0.25">
      <c r="A26" s="34"/>
      <c r="B26" s="32"/>
      <c r="C26" s="32"/>
      <c r="D26" s="33"/>
      <c r="E26" s="33"/>
      <c r="F26" s="38"/>
      <c r="G26" s="39">
        <f t="shared" si="0"/>
        <v>2773.82</v>
      </c>
      <c r="I26" s="34"/>
      <c r="J26" s="32"/>
      <c r="K26" s="32"/>
      <c r="L26" s="33"/>
      <c r="M26" s="33"/>
      <c r="N26" s="38"/>
      <c r="O26" s="39">
        <f t="shared" si="1"/>
        <v>0</v>
      </c>
    </row>
    <row r="27" spans="1:15" ht="13.5" thickTop="1" x14ac:dyDescent="0.2">
      <c r="A27" s="3"/>
      <c r="B27" s="4"/>
      <c r="C27" s="4"/>
      <c r="D27" s="5"/>
      <c r="E27" s="5"/>
      <c r="F27" s="5"/>
      <c r="G27" s="18"/>
      <c r="I27" s="3"/>
      <c r="J27" s="4"/>
      <c r="K27" s="4"/>
      <c r="L27" s="5"/>
      <c r="M27" s="5"/>
      <c r="N27" s="5"/>
      <c r="O27" s="18"/>
    </row>
    <row r="28" spans="1:15" ht="13.5" thickBot="1" x14ac:dyDescent="0.25">
      <c r="A28" s="8" t="s">
        <v>3</v>
      </c>
      <c r="B28" s="6"/>
      <c r="C28" s="6"/>
      <c r="D28" s="13"/>
      <c r="E28" s="7"/>
      <c r="F28" s="7"/>
      <c r="G28" s="212">
        <f>G26</f>
        <v>2773.82</v>
      </c>
      <c r="I28" s="8" t="s">
        <v>3</v>
      </c>
      <c r="J28" s="6"/>
      <c r="K28" s="6"/>
      <c r="L28" s="13"/>
      <c r="M28" s="7"/>
      <c r="N28" s="7"/>
      <c r="O28" s="212">
        <f>O26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2">
    <pageSetUpPr fitToPage="1"/>
  </sheetPr>
  <dimension ref="A1:O28"/>
  <sheetViews>
    <sheetView topLeftCell="F1" workbookViewId="0">
      <selection activeCell="N23" sqref="N23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0.28515625" style="246" bestFit="1" customWidth="1"/>
    <col min="8" max="8" width="9.140625" style="246"/>
    <col min="9" max="9" width="10.28515625" style="246" customWidth="1"/>
    <col min="10" max="10" width="11.7109375" style="246" customWidth="1"/>
    <col min="11" max="11" width="36.42578125" style="246" customWidth="1"/>
    <col min="12" max="12" width="10.28515625" style="246" bestFit="1" customWidth="1"/>
    <col min="13" max="13" width="5.42578125" style="246" bestFit="1" customWidth="1"/>
    <col min="14" max="15" width="10.28515625" style="246" bestFit="1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121</v>
      </c>
      <c r="B4" s="363"/>
      <c r="C4" s="363"/>
      <c r="D4" s="363"/>
      <c r="E4" s="363"/>
      <c r="F4" s="363"/>
      <c r="G4" s="364"/>
      <c r="I4" s="362" t="s">
        <v>121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v>1934.21</v>
      </c>
      <c r="I8" s="294"/>
      <c r="J8" s="232"/>
      <c r="K8" s="271" t="s">
        <v>74</v>
      </c>
      <c r="L8" s="186"/>
      <c r="M8" s="295"/>
      <c r="N8" s="295"/>
      <c r="O8" s="296">
        <v>2742.58</v>
      </c>
    </row>
    <row r="9" spans="1:15" x14ac:dyDescent="0.2">
      <c r="A9" s="116">
        <v>43021</v>
      </c>
      <c r="B9" s="245" t="s">
        <v>105</v>
      </c>
      <c r="C9" s="271" t="s">
        <v>119</v>
      </c>
      <c r="D9" s="186"/>
      <c r="E9" s="186"/>
      <c r="F9" s="186">
        <v>34.74</v>
      </c>
      <c r="G9" s="297">
        <f>SUM(G8+D9-E9-F9)</f>
        <v>1899.47</v>
      </c>
      <c r="I9" s="116">
        <v>43118</v>
      </c>
      <c r="J9" s="245" t="s">
        <v>105</v>
      </c>
      <c r="K9" s="271" t="s">
        <v>214</v>
      </c>
      <c r="L9" s="186"/>
      <c r="M9" s="186"/>
      <c r="N9" s="186">
        <v>215</v>
      </c>
      <c r="O9" s="297">
        <f>SUM(O8+L9-M9-N9)</f>
        <v>2527.58</v>
      </c>
    </row>
    <row r="10" spans="1:15" ht="25.5" x14ac:dyDescent="0.2">
      <c r="A10" s="116">
        <v>43021</v>
      </c>
      <c r="B10" s="245" t="s">
        <v>105</v>
      </c>
      <c r="C10" s="271" t="s">
        <v>120</v>
      </c>
      <c r="D10" s="186"/>
      <c r="E10" s="186"/>
      <c r="F10" s="186">
        <v>29.88</v>
      </c>
      <c r="G10" s="297">
        <f>SUM(G9+D10-E10-F10)</f>
        <v>1869.59</v>
      </c>
      <c r="I10" s="116">
        <v>43158</v>
      </c>
      <c r="J10" s="185">
        <v>11568260</v>
      </c>
      <c r="K10" s="271" t="s">
        <v>251</v>
      </c>
      <c r="L10" s="186"/>
      <c r="M10" s="186"/>
      <c r="N10" s="186">
        <v>98.96</v>
      </c>
      <c r="O10" s="297">
        <f>SUM(O9+L10-M10-N10)</f>
        <v>2428.62</v>
      </c>
    </row>
    <row r="11" spans="1:15" ht="25.5" x14ac:dyDescent="0.2">
      <c r="A11" s="116">
        <v>43032</v>
      </c>
      <c r="B11" s="245" t="s">
        <v>105</v>
      </c>
      <c r="C11" s="271" t="s">
        <v>130</v>
      </c>
      <c r="D11" s="186"/>
      <c r="E11" s="186"/>
      <c r="F11" s="186">
        <v>5.88</v>
      </c>
      <c r="G11" s="297">
        <f>SUM(G10+D11-E11-F11)</f>
        <v>1863.7099999999998</v>
      </c>
      <c r="I11" s="116">
        <v>43133</v>
      </c>
      <c r="J11" s="185">
        <v>11568260</v>
      </c>
      <c r="K11" s="271" t="s">
        <v>252</v>
      </c>
      <c r="L11" s="186"/>
      <c r="M11" s="186"/>
      <c r="N11" s="186">
        <v>95.94</v>
      </c>
      <c r="O11" s="297">
        <f>SUM(O10+L11-M11-N11)</f>
        <v>2332.6799999999998</v>
      </c>
    </row>
    <row r="12" spans="1:15" ht="25.5" x14ac:dyDescent="0.2">
      <c r="A12" s="116">
        <v>43032</v>
      </c>
      <c r="B12" s="239" t="s">
        <v>105</v>
      </c>
      <c r="C12" s="271" t="s">
        <v>131</v>
      </c>
      <c r="D12" s="165"/>
      <c r="E12" s="165"/>
      <c r="F12" s="165">
        <v>10</v>
      </c>
      <c r="G12" s="297">
        <f t="shared" ref="G12:G15" si="0">SUM(G11+D12-E12-F12)</f>
        <v>1853.7099999999998</v>
      </c>
      <c r="I12" s="116">
        <v>43167</v>
      </c>
      <c r="J12" s="117" t="s">
        <v>105</v>
      </c>
      <c r="K12" s="272" t="s">
        <v>258</v>
      </c>
      <c r="L12" s="165"/>
      <c r="M12" s="165"/>
      <c r="N12" s="165">
        <v>85.42</v>
      </c>
      <c r="O12" s="297">
        <f t="shared" ref="O12:O26" si="1">SUM(O11+L12-M12-N12)</f>
        <v>2247.2599999999998</v>
      </c>
    </row>
    <row r="13" spans="1:15" x14ac:dyDescent="0.2">
      <c r="A13" s="116">
        <v>43024</v>
      </c>
      <c r="B13" s="239" t="s">
        <v>145</v>
      </c>
      <c r="C13" s="117" t="s">
        <v>146</v>
      </c>
      <c r="D13" s="165"/>
      <c r="E13" s="165"/>
      <c r="F13" s="165">
        <f>175-17.5</f>
        <v>157.5</v>
      </c>
      <c r="G13" s="297">
        <f t="shared" si="0"/>
        <v>1696.2099999999998</v>
      </c>
      <c r="I13" s="116">
        <v>43173</v>
      </c>
      <c r="J13" s="117" t="s">
        <v>105</v>
      </c>
      <c r="K13" s="117" t="s">
        <v>261</v>
      </c>
      <c r="L13" s="165"/>
      <c r="M13" s="165"/>
      <c r="N13" s="165">
        <v>52.17</v>
      </c>
      <c r="O13" s="297">
        <f t="shared" si="1"/>
        <v>2195.0899999999997</v>
      </c>
    </row>
    <row r="14" spans="1:15" x14ac:dyDescent="0.2">
      <c r="A14" s="116">
        <v>43054</v>
      </c>
      <c r="B14" s="239" t="s">
        <v>105</v>
      </c>
      <c r="C14" s="117" t="s">
        <v>167</v>
      </c>
      <c r="D14" s="165"/>
      <c r="E14" s="165"/>
      <c r="F14" s="186">
        <v>939</v>
      </c>
      <c r="G14" s="297">
        <f t="shared" si="0"/>
        <v>757.20999999999981</v>
      </c>
      <c r="I14" s="116">
        <v>43186</v>
      </c>
      <c r="J14" s="117" t="s">
        <v>269</v>
      </c>
      <c r="K14" s="117" t="s">
        <v>270</v>
      </c>
      <c r="L14" s="165"/>
      <c r="M14" s="165"/>
      <c r="N14" s="165">
        <v>42</v>
      </c>
      <c r="O14" s="297">
        <f t="shared" si="1"/>
        <v>2153.0899999999997</v>
      </c>
    </row>
    <row r="15" spans="1:15" x14ac:dyDescent="0.2">
      <c r="A15" s="116">
        <v>43066</v>
      </c>
      <c r="B15" s="239" t="s">
        <v>105</v>
      </c>
      <c r="C15" s="117" t="s">
        <v>185</v>
      </c>
      <c r="D15" s="165"/>
      <c r="E15" s="165"/>
      <c r="F15" s="165">
        <v>3.99</v>
      </c>
      <c r="G15" s="297">
        <f t="shared" si="0"/>
        <v>753.2199999999998</v>
      </c>
      <c r="I15" s="116">
        <v>43168</v>
      </c>
      <c r="J15" s="117" t="s">
        <v>273</v>
      </c>
      <c r="K15" s="117" t="s">
        <v>271</v>
      </c>
      <c r="L15" s="165"/>
      <c r="M15" s="165"/>
      <c r="N15" s="165">
        <v>100</v>
      </c>
      <c r="O15" s="297">
        <f t="shared" si="1"/>
        <v>2053.0899999999997</v>
      </c>
    </row>
    <row r="16" spans="1:15" x14ac:dyDescent="0.2">
      <c r="A16" s="116">
        <v>43066</v>
      </c>
      <c r="B16" s="239" t="s">
        <v>105</v>
      </c>
      <c r="C16" s="117" t="s">
        <v>186</v>
      </c>
      <c r="D16" s="165"/>
      <c r="E16" s="165"/>
      <c r="F16" s="165">
        <v>4</v>
      </c>
      <c r="G16" s="298">
        <f t="shared" ref="G16:G26" si="2">SUM(G15+D16-E16-F16)</f>
        <v>749.2199999999998</v>
      </c>
      <c r="I16" s="116">
        <v>43171</v>
      </c>
      <c r="J16" s="117" t="s">
        <v>273</v>
      </c>
      <c r="K16" s="117" t="s">
        <v>272</v>
      </c>
      <c r="L16" s="165"/>
      <c r="M16" s="165"/>
      <c r="N16" s="165">
        <v>600</v>
      </c>
      <c r="O16" s="298">
        <f t="shared" si="1"/>
        <v>1453.0899999999997</v>
      </c>
    </row>
    <row r="17" spans="1:15" ht="25.5" x14ac:dyDescent="0.2">
      <c r="A17" s="14">
        <v>43081</v>
      </c>
      <c r="B17" s="332">
        <v>11511671</v>
      </c>
      <c r="C17" s="117" t="s">
        <v>200</v>
      </c>
      <c r="D17" s="165"/>
      <c r="E17" s="165"/>
      <c r="F17" s="165">
        <v>100</v>
      </c>
      <c r="G17" s="298">
        <f t="shared" si="2"/>
        <v>649.2199999999998</v>
      </c>
      <c r="I17" s="116">
        <v>43186</v>
      </c>
      <c r="J17" s="117">
        <v>11590074</v>
      </c>
      <c r="K17" s="272" t="s">
        <v>274</v>
      </c>
      <c r="L17" s="165"/>
      <c r="M17" s="165"/>
      <c r="N17" s="165">
        <v>400</v>
      </c>
      <c r="O17" s="298">
        <f t="shared" si="1"/>
        <v>1053.0899999999997</v>
      </c>
    </row>
    <row r="18" spans="1:15" x14ac:dyDescent="0.2">
      <c r="A18" s="116">
        <v>43067</v>
      </c>
      <c r="B18" s="239" t="s">
        <v>209</v>
      </c>
      <c r="C18" s="117" t="s">
        <v>210</v>
      </c>
      <c r="D18" s="165"/>
      <c r="E18" s="165"/>
      <c r="F18" s="165">
        <v>537</v>
      </c>
      <c r="G18" s="298">
        <f t="shared" si="2"/>
        <v>112.2199999999998</v>
      </c>
      <c r="I18" s="116">
        <v>43186</v>
      </c>
      <c r="J18" s="117" t="s">
        <v>105</v>
      </c>
      <c r="K18" s="117" t="s">
        <v>278</v>
      </c>
      <c r="L18" s="165"/>
      <c r="M18" s="165"/>
      <c r="N18" s="165">
        <v>10</v>
      </c>
      <c r="O18" s="298">
        <f t="shared" si="1"/>
        <v>1043.0899999999997</v>
      </c>
    </row>
    <row r="19" spans="1:15" ht="25.5" x14ac:dyDescent="0.2">
      <c r="A19" s="116"/>
      <c r="B19" s="239"/>
      <c r="C19" s="117"/>
      <c r="D19" s="165"/>
      <c r="E19" s="165"/>
      <c r="F19" s="165"/>
      <c r="G19" s="298">
        <f t="shared" si="2"/>
        <v>112.2199999999998</v>
      </c>
      <c r="I19" s="14">
        <v>43220</v>
      </c>
      <c r="J19" s="129" t="s">
        <v>105</v>
      </c>
      <c r="K19" s="349" t="s">
        <v>345</v>
      </c>
      <c r="L19" s="165"/>
      <c r="M19" s="165"/>
      <c r="N19" s="165">
        <v>69</v>
      </c>
      <c r="O19" s="298">
        <f t="shared" si="1"/>
        <v>974.08999999999969</v>
      </c>
    </row>
    <row r="20" spans="1:15" x14ac:dyDescent="0.2">
      <c r="A20" s="116"/>
      <c r="B20" s="239"/>
      <c r="C20" s="117"/>
      <c r="D20" s="165"/>
      <c r="E20" s="165"/>
      <c r="F20" s="165"/>
      <c r="G20" s="298">
        <f t="shared" si="2"/>
        <v>112.2199999999998</v>
      </c>
      <c r="I20" s="14">
        <v>43220</v>
      </c>
      <c r="J20" s="129" t="s">
        <v>105</v>
      </c>
      <c r="K20" s="129" t="s">
        <v>346</v>
      </c>
      <c r="L20" s="165"/>
      <c r="M20" s="165"/>
      <c r="N20" s="165">
        <v>12</v>
      </c>
      <c r="O20" s="298">
        <f t="shared" si="1"/>
        <v>962.08999999999969</v>
      </c>
    </row>
    <row r="21" spans="1:15" ht="38.25" x14ac:dyDescent="0.2">
      <c r="A21" s="116"/>
      <c r="B21" s="239"/>
      <c r="C21" s="117"/>
      <c r="D21" s="165"/>
      <c r="E21" s="165"/>
      <c r="F21" s="165"/>
      <c r="G21" s="298">
        <f t="shared" si="2"/>
        <v>112.2199999999998</v>
      </c>
      <c r="I21" s="116">
        <v>43230</v>
      </c>
      <c r="J21" s="117">
        <v>11629269</v>
      </c>
      <c r="K21" s="271" t="s">
        <v>358</v>
      </c>
      <c r="L21" s="165"/>
      <c r="M21" s="165"/>
      <c r="N21" s="165">
        <f>67.06+5.4+65+7.96</f>
        <v>145.42000000000002</v>
      </c>
      <c r="O21" s="298">
        <f t="shared" si="1"/>
        <v>816.66999999999962</v>
      </c>
    </row>
    <row r="22" spans="1:15" x14ac:dyDescent="0.2">
      <c r="A22" s="116"/>
      <c r="B22" s="239"/>
      <c r="C22" s="117"/>
      <c r="D22" s="165"/>
      <c r="E22" s="165"/>
      <c r="F22" s="165"/>
      <c r="G22" s="298">
        <f t="shared" si="2"/>
        <v>112.2199999999998</v>
      </c>
      <c r="I22" s="116">
        <v>43208</v>
      </c>
      <c r="J22" s="117" t="s">
        <v>105</v>
      </c>
      <c r="K22" s="117" t="s">
        <v>359</v>
      </c>
      <c r="L22" s="165"/>
      <c r="M22" s="165"/>
      <c r="N22" s="165">
        <f>170+600</f>
        <v>770</v>
      </c>
      <c r="O22" s="298">
        <f t="shared" si="1"/>
        <v>46.669999999999618</v>
      </c>
    </row>
    <row r="23" spans="1:15" x14ac:dyDescent="0.2">
      <c r="A23" s="116"/>
      <c r="B23" s="239"/>
      <c r="C23" s="117"/>
      <c r="D23" s="165"/>
      <c r="E23" s="165"/>
      <c r="F23" s="165"/>
      <c r="G23" s="298">
        <f t="shared" si="2"/>
        <v>112.2199999999998</v>
      </c>
      <c r="I23" s="116"/>
      <c r="J23" s="117"/>
      <c r="K23" s="117"/>
      <c r="L23" s="165"/>
      <c r="M23" s="165"/>
      <c r="N23" s="165"/>
      <c r="O23" s="298">
        <f t="shared" si="1"/>
        <v>46.669999999999618</v>
      </c>
    </row>
    <row r="24" spans="1:15" x14ac:dyDescent="0.2">
      <c r="A24" s="116"/>
      <c r="B24" s="239"/>
      <c r="C24" s="117"/>
      <c r="D24" s="165"/>
      <c r="E24" s="165"/>
      <c r="F24" s="165"/>
      <c r="G24" s="298">
        <f t="shared" si="2"/>
        <v>112.2199999999998</v>
      </c>
      <c r="I24" s="116"/>
      <c r="J24" s="117"/>
      <c r="K24" s="117"/>
      <c r="L24" s="165"/>
      <c r="M24" s="165"/>
      <c r="N24" s="165"/>
      <c r="O24" s="298">
        <f t="shared" si="1"/>
        <v>46.669999999999618</v>
      </c>
    </row>
    <row r="25" spans="1:15" x14ac:dyDescent="0.2">
      <c r="A25" s="116"/>
      <c r="B25" s="239"/>
      <c r="C25" s="117"/>
      <c r="D25" s="165"/>
      <c r="E25" s="165"/>
      <c r="F25" s="165"/>
      <c r="G25" s="298">
        <f t="shared" si="2"/>
        <v>112.2199999999998</v>
      </c>
      <c r="I25" s="120"/>
      <c r="J25" s="117"/>
      <c r="K25" s="117"/>
      <c r="L25" s="165"/>
      <c r="M25" s="165"/>
      <c r="N25" s="165"/>
      <c r="O25" s="298">
        <f t="shared" si="1"/>
        <v>46.669999999999618</v>
      </c>
    </row>
    <row r="26" spans="1:15" ht="13.5" thickBot="1" x14ac:dyDescent="0.25">
      <c r="A26" s="116"/>
      <c r="B26" s="333"/>
      <c r="C26" s="122"/>
      <c r="D26" s="167"/>
      <c r="E26" s="167"/>
      <c r="F26" s="167"/>
      <c r="G26" s="168">
        <f t="shared" si="2"/>
        <v>112.2199999999998</v>
      </c>
      <c r="I26" s="121"/>
      <c r="J26" s="122"/>
      <c r="K26" s="122"/>
      <c r="L26" s="167"/>
      <c r="M26" s="167"/>
      <c r="N26" s="167"/>
      <c r="O26" s="168">
        <f t="shared" si="1"/>
        <v>46.669999999999618</v>
      </c>
    </row>
    <row r="27" spans="1:15" ht="13.5" thickTop="1" x14ac:dyDescent="0.2">
      <c r="A27" s="113"/>
      <c r="B27" s="114"/>
      <c r="C27" s="114"/>
      <c r="D27" s="161"/>
      <c r="E27" s="161"/>
      <c r="F27" s="161"/>
      <c r="G27" s="162"/>
      <c r="I27" s="113"/>
      <c r="J27" s="114"/>
      <c r="K27" s="114"/>
      <c r="L27" s="161"/>
      <c r="M27" s="161"/>
      <c r="N27" s="161"/>
      <c r="O27" s="162"/>
    </row>
    <row r="28" spans="1:15" ht="13.5" thickBot="1" x14ac:dyDescent="0.25">
      <c r="A28" s="124" t="s">
        <v>3</v>
      </c>
      <c r="B28" s="125"/>
      <c r="C28" s="125"/>
      <c r="D28" s="159"/>
      <c r="E28" s="169"/>
      <c r="F28" s="169"/>
      <c r="G28" s="209">
        <f>G26</f>
        <v>112.2199999999998</v>
      </c>
      <c r="I28" s="124" t="s">
        <v>3</v>
      </c>
      <c r="J28" s="125"/>
      <c r="K28" s="125"/>
      <c r="L28" s="159"/>
      <c r="M28" s="169"/>
      <c r="N28" s="169"/>
      <c r="O28" s="209">
        <f>O26</f>
        <v>46.669999999999618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300-000000000000}"/>
  </hyperlinks>
  <pageMargins left="0.7" right="0.7" top="0.75" bottom="0.75" header="0.3" footer="0.3"/>
  <pageSetup scale="9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3"/>
  <dimension ref="A1:O27"/>
  <sheetViews>
    <sheetView workbookViewId="0">
      <selection activeCell="J10" sqref="J10"/>
    </sheetView>
  </sheetViews>
  <sheetFormatPr defaultRowHeight="12.75" x14ac:dyDescent="0.2"/>
  <cols>
    <col min="1" max="1" width="10.5703125" customWidth="1"/>
    <col min="2" max="2" width="9.28515625" bestFit="1" customWidth="1"/>
    <col min="3" max="3" width="34" customWidth="1"/>
    <col min="4" max="4" width="12.85546875" customWidth="1"/>
    <col min="5" max="5" width="5.42578125" bestFit="1" customWidth="1"/>
    <col min="6" max="6" width="10.28515625" bestFit="1" customWidth="1"/>
    <col min="7" max="7" width="13" customWidth="1"/>
    <col min="9" max="9" width="10.5703125" customWidth="1"/>
    <col min="10" max="10" width="9.28515625" bestFit="1" customWidth="1"/>
    <col min="11" max="11" width="34" customWidth="1"/>
    <col min="12" max="12" width="12.85546875" customWidth="1"/>
    <col min="13" max="13" width="5.42578125" bestFit="1" customWidth="1"/>
    <col min="14" max="14" width="10.28515625" bestFit="1" customWidth="1"/>
    <col min="15" max="15" width="13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59</v>
      </c>
      <c r="B4" s="363"/>
      <c r="C4" s="363"/>
      <c r="D4" s="363"/>
      <c r="E4" s="363"/>
      <c r="F4" s="363"/>
      <c r="G4" s="364"/>
      <c r="I4" s="362" t="s">
        <v>59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50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50" t="s">
        <v>8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2298.1</v>
      </c>
      <c r="I8" s="14"/>
      <c r="J8" s="9"/>
      <c r="K8" s="63" t="s">
        <v>74</v>
      </c>
      <c r="L8" s="74"/>
      <c r="M8" s="74"/>
      <c r="N8" s="75"/>
      <c r="O8" s="249">
        <v>247.5</v>
      </c>
    </row>
    <row r="9" spans="1:15" ht="25.5" x14ac:dyDescent="0.2">
      <c r="A9" s="14">
        <v>43027</v>
      </c>
      <c r="B9" s="9" t="s">
        <v>103</v>
      </c>
      <c r="C9" s="63" t="s">
        <v>117</v>
      </c>
      <c r="D9" s="74"/>
      <c r="E9" s="74"/>
      <c r="F9" s="75">
        <v>1225.5999999999999</v>
      </c>
      <c r="G9" s="81">
        <f t="shared" ref="G9:G25" si="0">SUM(G8+D9-E9-F9)</f>
        <v>1072.5</v>
      </c>
      <c r="I9" s="14">
        <v>43196</v>
      </c>
      <c r="J9" s="9" t="s">
        <v>264</v>
      </c>
      <c r="K9" s="310" t="s">
        <v>325</v>
      </c>
      <c r="L9" s="74"/>
      <c r="M9" s="74"/>
      <c r="N9" s="75">
        <f>84+8.7-12.6</f>
        <v>80.100000000000009</v>
      </c>
      <c r="O9" s="81">
        <f t="shared" ref="O9:O25" si="1">SUM(O8+L9-M9-N9)</f>
        <v>167.39999999999998</v>
      </c>
    </row>
    <row r="10" spans="1:15" ht="25.5" x14ac:dyDescent="0.2">
      <c r="A10" s="14">
        <v>43032</v>
      </c>
      <c r="B10" s="48" t="s">
        <v>103</v>
      </c>
      <c r="C10" s="310" t="s">
        <v>129</v>
      </c>
      <c r="D10" s="74"/>
      <c r="E10" s="74"/>
      <c r="F10" s="75">
        <v>78.11</v>
      </c>
      <c r="G10" s="81">
        <f t="shared" si="0"/>
        <v>994.39</v>
      </c>
      <c r="I10" s="14"/>
      <c r="J10" s="9"/>
      <c r="K10" s="63"/>
      <c r="L10" s="74"/>
      <c r="M10" s="74"/>
      <c r="N10" s="75"/>
      <c r="O10" s="81">
        <f t="shared" si="1"/>
        <v>167.39999999999998</v>
      </c>
    </row>
    <row r="11" spans="1:15" x14ac:dyDescent="0.2">
      <c r="A11" s="14">
        <v>43189</v>
      </c>
      <c r="B11" s="9" t="s">
        <v>264</v>
      </c>
      <c r="C11" s="63" t="s">
        <v>263</v>
      </c>
      <c r="D11" s="74"/>
      <c r="E11" s="74"/>
      <c r="F11" s="75">
        <f>84+8.7-12.6</f>
        <v>80.100000000000009</v>
      </c>
      <c r="G11" s="81">
        <f t="shared" si="0"/>
        <v>914.29</v>
      </c>
      <c r="I11" s="14"/>
      <c r="J11" s="9"/>
      <c r="K11" s="9"/>
      <c r="L11" s="74"/>
      <c r="M11" s="74"/>
      <c r="N11" s="75"/>
      <c r="O11" s="81">
        <f t="shared" si="1"/>
        <v>167.39999999999998</v>
      </c>
    </row>
    <row r="12" spans="1:15" x14ac:dyDescent="0.2">
      <c r="A12" s="14"/>
      <c r="B12" s="9"/>
      <c r="C12" s="63"/>
      <c r="D12" s="74"/>
      <c r="E12" s="74"/>
      <c r="F12" s="75"/>
      <c r="G12" s="81">
        <f t="shared" si="0"/>
        <v>914.29</v>
      </c>
      <c r="I12" s="14"/>
      <c r="J12" s="9"/>
      <c r="K12" s="63"/>
      <c r="L12" s="74"/>
      <c r="M12" s="74"/>
      <c r="N12" s="75"/>
      <c r="O12" s="81">
        <f t="shared" si="1"/>
        <v>167.39999999999998</v>
      </c>
    </row>
    <row r="13" spans="1:15" x14ac:dyDescent="0.2">
      <c r="A13" s="14"/>
      <c r="B13" s="9"/>
      <c r="C13" s="63"/>
      <c r="D13" s="74"/>
      <c r="E13" s="74"/>
      <c r="F13" s="75"/>
      <c r="G13" s="81">
        <f t="shared" si="0"/>
        <v>914.29</v>
      </c>
      <c r="I13" s="14"/>
      <c r="J13" s="9"/>
      <c r="K13" s="63"/>
      <c r="L13" s="74"/>
      <c r="M13" s="74"/>
      <c r="N13" s="75"/>
      <c r="O13" s="81">
        <f t="shared" si="1"/>
        <v>167.39999999999998</v>
      </c>
    </row>
    <row r="14" spans="1:15" x14ac:dyDescent="0.2">
      <c r="A14" s="14"/>
      <c r="B14" s="9"/>
      <c r="C14" s="9"/>
      <c r="D14" s="74"/>
      <c r="E14" s="74"/>
      <c r="F14" s="75"/>
      <c r="G14" s="81">
        <f t="shared" si="0"/>
        <v>914.29</v>
      </c>
      <c r="I14" s="14"/>
      <c r="J14" s="9"/>
      <c r="K14" s="9"/>
      <c r="L14" s="74"/>
      <c r="M14" s="74"/>
      <c r="N14" s="75"/>
      <c r="O14" s="81">
        <f t="shared" si="1"/>
        <v>167.39999999999998</v>
      </c>
    </row>
    <row r="15" spans="1:15" x14ac:dyDescent="0.2">
      <c r="A15" s="14"/>
      <c r="B15" s="9"/>
      <c r="C15" s="9"/>
      <c r="D15" s="74"/>
      <c r="E15" s="74"/>
      <c r="F15" s="75"/>
      <c r="G15" s="81">
        <f t="shared" si="0"/>
        <v>914.29</v>
      </c>
      <c r="I15" s="14"/>
      <c r="J15" s="9"/>
      <c r="K15" s="9"/>
      <c r="L15" s="74"/>
      <c r="M15" s="74"/>
      <c r="N15" s="75"/>
      <c r="O15" s="81">
        <f t="shared" si="1"/>
        <v>167.39999999999998</v>
      </c>
    </row>
    <row r="16" spans="1:15" x14ac:dyDescent="0.2">
      <c r="A16" s="16"/>
      <c r="B16" s="9"/>
      <c r="C16" s="9"/>
      <c r="D16" s="74"/>
      <c r="E16" s="74"/>
      <c r="F16" s="74"/>
      <c r="G16" s="81">
        <f t="shared" si="0"/>
        <v>914.29</v>
      </c>
      <c r="I16" s="16"/>
      <c r="J16" s="9"/>
      <c r="K16" s="9"/>
      <c r="L16" s="74"/>
      <c r="M16" s="74"/>
      <c r="N16" s="74"/>
      <c r="O16" s="81">
        <f t="shared" si="1"/>
        <v>167.39999999999998</v>
      </c>
    </row>
    <row r="17" spans="1:15" x14ac:dyDescent="0.2">
      <c r="A17" s="16"/>
      <c r="B17" s="9"/>
      <c r="C17" s="9"/>
      <c r="D17" s="74"/>
      <c r="E17" s="74"/>
      <c r="F17" s="74"/>
      <c r="G17" s="81">
        <f t="shared" si="0"/>
        <v>914.29</v>
      </c>
      <c r="I17" s="16"/>
      <c r="J17" s="9"/>
      <c r="K17" s="9"/>
      <c r="L17" s="74"/>
      <c r="M17" s="74"/>
      <c r="N17" s="74"/>
      <c r="O17" s="81">
        <f t="shared" si="1"/>
        <v>167.39999999999998</v>
      </c>
    </row>
    <row r="18" spans="1:15" x14ac:dyDescent="0.2">
      <c r="A18" s="16"/>
      <c r="B18" s="9"/>
      <c r="C18" s="9"/>
      <c r="D18" s="74"/>
      <c r="E18" s="74"/>
      <c r="F18" s="74"/>
      <c r="G18" s="85">
        <f t="shared" si="0"/>
        <v>914.29</v>
      </c>
      <c r="I18" s="16"/>
      <c r="J18" s="9"/>
      <c r="K18" s="9"/>
      <c r="L18" s="74"/>
      <c r="M18" s="74"/>
      <c r="N18" s="74"/>
      <c r="O18" s="85">
        <f t="shared" si="1"/>
        <v>167.39999999999998</v>
      </c>
    </row>
    <row r="19" spans="1:15" x14ac:dyDescent="0.2">
      <c r="A19" s="16"/>
      <c r="B19" s="9"/>
      <c r="C19" s="9"/>
      <c r="D19" s="74"/>
      <c r="E19" s="74"/>
      <c r="F19" s="74"/>
      <c r="G19" s="85">
        <f t="shared" si="0"/>
        <v>914.29</v>
      </c>
      <c r="I19" s="16"/>
      <c r="J19" s="9"/>
      <c r="K19" s="9"/>
      <c r="L19" s="74"/>
      <c r="M19" s="74"/>
      <c r="N19" s="74"/>
      <c r="O19" s="85">
        <f t="shared" si="1"/>
        <v>167.39999999999998</v>
      </c>
    </row>
    <row r="20" spans="1:15" x14ac:dyDescent="0.2">
      <c r="A20" s="16"/>
      <c r="B20" s="9"/>
      <c r="C20" s="9"/>
      <c r="D20" s="74"/>
      <c r="E20" s="74"/>
      <c r="F20" s="74"/>
      <c r="G20" s="85">
        <f t="shared" si="0"/>
        <v>914.29</v>
      </c>
      <c r="I20" s="16"/>
      <c r="J20" s="9"/>
      <c r="K20" s="9"/>
      <c r="L20" s="74"/>
      <c r="M20" s="74"/>
      <c r="N20" s="74"/>
      <c r="O20" s="85">
        <f t="shared" si="1"/>
        <v>167.39999999999998</v>
      </c>
    </row>
    <row r="21" spans="1:15" x14ac:dyDescent="0.2">
      <c r="A21" s="16"/>
      <c r="B21" s="9"/>
      <c r="C21" s="9"/>
      <c r="D21" s="74"/>
      <c r="E21" s="74"/>
      <c r="F21" s="74"/>
      <c r="G21" s="85">
        <f t="shared" si="0"/>
        <v>914.29</v>
      </c>
      <c r="I21" s="16"/>
      <c r="J21" s="9"/>
      <c r="K21" s="9"/>
      <c r="L21" s="74"/>
      <c r="M21" s="74"/>
      <c r="N21" s="74"/>
      <c r="O21" s="85">
        <f t="shared" si="1"/>
        <v>167.39999999999998</v>
      </c>
    </row>
    <row r="22" spans="1:15" x14ac:dyDescent="0.2">
      <c r="A22" s="16"/>
      <c r="B22" s="9"/>
      <c r="C22" s="9"/>
      <c r="D22" s="74"/>
      <c r="E22" s="74"/>
      <c r="F22" s="74"/>
      <c r="G22" s="85">
        <f t="shared" si="0"/>
        <v>914.29</v>
      </c>
      <c r="I22" s="16"/>
      <c r="J22" s="9"/>
      <c r="K22" s="9"/>
      <c r="L22" s="74"/>
      <c r="M22" s="74"/>
      <c r="N22" s="74"/>
      <c r="O22" s="85">
        <f t="shared" si="1"/>
        <v>167.39999999999998</v>
      </c>
    </row>
    <row r="23" spans="1:15" x14ac:dyDescent="0.2">
      <c r="A23" s="16"/>
      <c r="B23" s="9"/>
      <c r="C23" s="9"/>
      <c r="D23" s="74"/>
      <c r="E23" s="74"/>
      <c r="F23" s="74"/>
      <c r="G23" s="85">
        <f t="shared" si="0"/>
        <v>914.29</v>
      </c>
      <c r="I23" s="16"/>
      <c r="J23" s="9"/>
      <c r="K23" s="9"/>
      <c r="L23" s="74"/>
      <c r="M23" s="74"/>
      <c r="N23" s="74"/>
      <c r="O23" s="85">
        <f t="shared" si="1"/>
        <v>167.39999999999998</v>
      </c>
    </row>
    <row r="24" spans="1:15" x14ac:dyDescent="0.2">
      <c r="A24" s="16"/>
      <c r="B24" s="9"/>
      <c r="C24" s="9"/>
      <c r="D24" s="74"/>
      <c r="E24" s="74"/>
      <c r="F24" s="74"/>
      <c r="G24" s="85">
        <f t="shared" si="0"/>
        <v>914.29</v>
      </c>
      <c r="I24" s="16"/>
      <c r="J24" s="9"/>
      <c r="K24" s="9"/>
      <c r="L24" s="74"/>
      <c r="M24" s="74"/>
      <c r="N24" s="74"/>
      <c r="O24" s="85">
        <f t="shared" si="1"/>
        <v>167.39999999999998</v>
      </c>
    </row>
    <row r="25" spans="1:15" ht="13.5" thickBot="1" x14ac:dyDescent="0.25">
      <c r="A25" s="130"/>
      <c r="B25" s="131"/>
      <c r="C25" s="131"/>
      <c r="D25" s="138"/>
      <c r="E25" s="138"/>
      <c r="F25" s="138"/>
      <c r="G25" s="139">
        <f t="shared" si="0"/>
        <v>914.29</v>
      </c>
      <c r="I25" s="130"/>
      <c r="J25" s="131"/>
      <c r="K25" s="131"/>
      <c r="L25" s="138"/>
      <c r="M25" s="138"/>
      <c r="N25" s="138"/>
      <c r="O25" s="139">
        <f t="shared" si="1"/>
        <v>167.39999999999998</v>
      </c>
    </row>
    <row r="26" spans="1:15" ht="13.5" thickTop="1" x14ac:dyDescent="0.2">
      <c r="A26" s="269"/>
      <c r="B26" s="126"/>
      <c r="C26" s="126"/>
      <c r="D26" s="135"/>
      <c r="E26" s="135"/>
      <c r="F26" s="135"/>
      <c r="G26" s="136"/>
      <c r="I26" s="269"/>
      <c r="J26" s="126"/>
      <c r="K26" s="126"/>
      <c r="L26" s="135"/>
      <c r="M26" s="135"/>
      <c r="N26" s="135"/>
      <c r="O26" s="136"/>
    </row>
    <row r="27" spans="1:15" ht="13.5" thickBot="1" x14ac:dyDescent="0.25">
      <c r="A27" s="132" t="s">
        <v>3</v>
      </c>
      <c r="B27" s="133"/>
      <c r="C27" s="133"/>
      <c r="D27" s="134"/>
      <c r="E27" s="140"/>
      <c r="F27" s="140"/>
      <c r="G27" s="208">
        <f>G25</f>
        <v>914.29</v>
      </c>
      <c r="I27" s="132" t="s">
        <v>3</v>
      </c>
      <c r="J27" s="133"/>
      <c r="K27" s="133"/>
      <c r="L27" s="134"/>
      <c r="M27" s="140"/>
      <c r="N27" s="140"/>
      <c r="O27" s="208">
        <f>O25</f>
        <v>167.39999999999998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5"/>
  <dimension ref="A1:O24"/>
  <sheetViews>
    <sheetView workbookViewId="0">
      <selection activeCell="K12" sqref="K12"/>
    </sheetView>
  </sheetViews>
  <sheetFormatPr defaultRowHeight="12.75" x14ac:dyDescent="0.2"/>
  <cols>
    <col min="1" max="1" width="11.85546875" style="49" bestFit="1" customWidth="1"/>
    <col min="2" max="2" width="9.28515625" style="49" bestFit="1" customWidth="1"/>
    <col min="3" max="3" width="22.42578125" style="49" customWidth="1"/>
    <col min="4" max="4" width="15.140625" style="49" bestFit="1" customWidth="1"/>
    <col min="5" max="5" width="11.85546875" style="49" customWidth="1"/>
    <col min="6" max="6" width="10.42578125" style="49" bestFit="1" customWidth="1"/>
    <col min="7" max="7" width="12.5703125" style="49" customWidth="1"/>
    <col min="8" max="8" width="9.140625" style="49"/>
    <col min="9" max="9" width="11.85546875" style="49" bestFit="1" customWidth="1"/>
    <col min="10" max="10" width="9.28515625" style="49" bestFit="1" customWidth="1"/>
    <col min="11" max="11" width="22.42578125" style="49" customWidth="1"/>
    <col min="12" max="12" width="15.140625" style="49" bestFit="1" customWidth="1"/>
    <col min="13" max="13" width="11.85546875" style="49" customWidth="1"/>
    <col min="14" max="14" width="10.42578125" style="49" bestFit="1" customWidth="1"/>
    <col min="15" max="15" width="12.5703125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customHeight="1" x14ac:dyDescent="0.5">
      <c r="A4" s="362" t="s">
        <v>147</v>
      </c>
      <c r="B4" s="363"/>
      <c r="C4" s="363"/>
      <c r="D4" s="363"/>
      <c r="E4" s="363"/>
      <c r="F4" s="363"/>
      <c r="G4" s="364"/>
      <c r="H4" s="96"/>
      <c r="I4" s="362" t="s">
        <v>147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H5" s="97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30" t="s">
        <v>2</v>
      </c>
      <c r="E7" s="250" t="s">
        <v>8</v>
      </c>
      <c r="F7" s="230" t="s">
        <v>5</v>
      </c>
      <c r="G7" s="231" t="s">
        <v>6</v>
      </c>
      <c r="I7" s="216" t="s">
        <v>1</v>
      </c>
      <c r="J7" s="217" t="s">
        <v>12</v>
      </c>
      <c r="K7" s="218" t="s">
        <v>0</v>
      </c>
      <c r="L7" s="230" t="s">
        <v>2</v>
      </c>
      <c r="M7" s="250" t="s">
        <v>8</v>
      </c>
      <c r="N7" s="230" t="s">
        <v>5</v>
      </c>
      <c r="O7" s="231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300</v>
      </c>
      <c r="I8" s="247"/>
      <c r="J8" s="238"/>
      <c r="K8" s="238" t="s">
        <v>74</v>
      </c>
      <c r="L8" s="248"/>
      <c r="M8" s="248"/>
      <c r="N8" s="248"/>
      <c r="O8" s="249">
        <v>1593.95</v>
      </c>
    </row>
    <row r="9" spans="1:15" x14ac:dyDescent="0.2">
      <c r="A9" s="14"/>
      <c r="B9" s="9"/>
      <c r="C9" s="9"/>
      <c r="D9" s="104"/>
      <c r="E9" s="104"/>
      <c r="F9" s="105"/>
      <c r="G9" s="103">
        <f t="shared" ref="G9:G15" si="0">SUM(G8+D9-E9-F9)</f>
        <v>300</v>
      </c>
      <c r="I9" s="14">
        <v>43202</v>
      </c>
      <c r="J9" s="9" t="s">
        <v>105</v>
      </c>
      <c r="K9" s="9" t="s">
        <v>323</v>
      </c>
      <c r="L9" s="104"/>
      <c r="M9" s="104"/>
      <c r="N9" s="105">
        <v>26.46</v>
      </c>
      <c r="O9" s="103">
        <f t="shared" ref="O9:O22" si="1">SUM(O8+L9-M9-N9)</f>
        <v>1567.49</v>
      </c>
    </row>
    <row r="10" spans="1:15" x14ac:dyDescent="0.2">
      <c r="A10" s="14"/>
      <c r="B10" s="9"/>
      <c r="C10" s="63"/>
      <c r="D10" s="104"/>
      <c r="E10" s="104"/>
      <c r="F10" s="105"/>
      <c r="G10" s="103">
        <f t="shared" si="0"/>
        <v>300</v>
      </c>
      <c r="I10" s="14">
        <v>43202</v>
      </c>
      <c r="J10" s="9" t="s">
        <v>105</v>
      </c>
      <c r="K10" s="9" t="s">
        <v>323</v>
      </c>
      <c r="L10" s="104"/>
      <c r="M10" s="104"/>
      <c r="N10" s="105">
        <v>291.05</v>
      </c>
      <c r="O10" s="103">
        <f t="shared" si="1"/>
        <v>1276.44</v>
      </c>
    </row>
    <row r="11" spans="1:15" x14ac:dyDescent="0.2">
      <c r="A11" s="14"/>
      <c r="B11" s="9"/>
      <c r="C11" s="58"/>
      <c r="D11" s="104"/>
      <c r="E11" s="104"/>
      <c r="F11" s="105"/>
      <c r="G11" s="103">
        <f t="shared" si="0"/>
        <v>300</v>
      </c>
      <c r="I11" s="14">
        <v>43202</v>
      </c>
      <c r="J11" s="9" t="s">
        <v>105</v>
      </c>
      <c r="K11" s="63" t="s">
        <v>324</v>
      </c>
      <c r="L11" s="104"/>
      <c r="M11" s="104"/>
      <c r="N11" s="105">
        <v>586.54999999999995</v>
      </c>
      <c r="O11" s="103">
        <f t="shared" si="1"/>
        <v>689.8900000000001</v>
      </c>
    </row>
    <row r="12" spans="1:15" x14ac:dyDescent="0.2">
      <c r="A12" s="16"/>
      <c r="B12" s="9"/>
      <c r="C12" s="9"/>
      <c r="D12" s="104"/>
      <c r="E12" s="104"/>
      <c r="F12" s="104"/>
      <c r="G12" s="103">
        <f t="shared" si="0"/>
        <v>300</v>
      </c>
      <c r="I12" s="16"/>
      <c r="J12" s="9"/>
      <c r="K12" s="9"/>
      <c r="L12" s="104"/>
      <c r="M12" s="104"/>
      <c r="N12" s="104"/>
      <c r="O12" s="103">
        <f t="shared" si="1"/>
        <v>689.8900000000001</v>
      </c>
    </row>
    <row r="13" spans="1:15" x14ac:dyDescent="0.2">
      <c r="A13" s="16"/>
      <c r="B13" s="9"/>
      <c r="C13" s="9"/>
      <c r="D13" s="104"/>
      <c r="E13" s="104"/>
      <c r="F13" s="104"/>
      <c r="G13" s="103">
        <f t="shared" si="0"/>
        <v>300</v>
      </c>
      <c r="I13" s="16"/>
      <c r="J13" s="9"/>
      <c r="K13" s="9"/>
      <c r="L13" s="104"/>
      <c r="M13" s="104"/>
      <c r="N13" s="104"/>
      <c r="O13" s="103">
        <f t="shared" si="1"/>
        <v>689.8900000000001</v>
      </c>
    </row>
    <row r="14" spans="1:15" x14ac:dyDescent="0.2">
      <c r="A14" s="16"/>
      <c r="B14" s="9"/>
      <c r="C14" s="9"/>
      <c r="D14" s="104"/>
      <c r="E14" s="104"/>
      <c r="F14" s="104"/>
      <c r="G14" s="103">
        <f t="shared" si="0"/>
        <v>300</v>
      </c>
      <c r="I14" s="16"/>
      <c r="J14" s="9"/>
      <c r="K14" s="9"/>
      <c r="L14" s="104"/>
      <c r="M14" s="104"/>
      <c r="N14" s="104"/>
      <c r="O14" s="103">
        <f t="shared" si="1"/>
        <v>689.8900000000001</v>
      </c>
    </row>
    <row r="15" spans="1:15" x14ac:dyDescent="0.2">
      <c r="A15" s="16"/>
      <c r="B15" s="9"/>
      <c r="C15" s="9"/>
      <c r="D15" s="104"/>
      <c r="E15" s="104"/>
      <c r="F15" s="104"/>
      <c r="G15" s="103">
        <f t="shared" si="0"/>
        <v>300</v>
      </c>
      <c r="I15" s="16"/>
      <c r="J15" s="9"/>
      <c r="K15" s="9"/>
      <c r="L15" s="104"/>
      <c r="M15" s="104"/>
      <c r="N15" s="104"/>
      <c r="O15" s="103">
        <f t="shared" si="1"/>
        <v>689.8900000000001</v>
      </c>
    </row>
    <row r="16" spans="1:15" x14ac:dyDescent="0.2">
      <c r="A16" s="16"/>
      <c r="B16" s="9"/>
      <c r="C16" s="9"/>
      <c r="D16" s="104"/>
      <c r="E16" s="104"/>
      <c r="F16" s="104"/>
      <c r="G16" s="108">
        <f t="shared" ref="G16:G22" si="2">SUM(G15+D16-E16-F16)</f>
        <v>300</v>
      </c>
      <c r="I16" s="16"/>
      <c r="J16" s="9"/>
      <c r="K16" s="9"/>
      <c r="L16" s="104"/>
      <c r="M16" s="104"/>
      <c r="N16" s="104"/>
      <c r="O16" s="108">
        <f t="shared" si="1"/>
        <v>689.8900000000001</v>
      </c>
    </row>
    <row r="17" spans="1:15" x14ac:dyDescent="0.2">
      <c r="A17" s="16"/>
      <c r="B17" s="9"/>
      <c r="C17" s="9"/>
      <c r="D17" s="104"/>
      <c r="E17" s="104"/>
      <c r="F17" s="104"/>
      <c r="G17" s="108">
        <f t="shared" si="2"/>
        <v>300</v>
      </c>
      <c r="I17" s="16"/>
      <c r="J17" s="9"/>
      <c r="K17" s="9"/>
      <c r="L17" s="104"/>
      <c r="M17" s="104"/>
      <c r="N17" s="104"/>
      <c r="O17" s="108">
        <f t="shared" si="1"/>
        <v>689.8900000000001</v>
      </c>
    </row>
    <row r="18" spans="1:15" x14ac:dyDescent="0.2">
      <c r="A18" s="16"/>
      <c r="B18" s="9"/>
      <c r="C18" s="9"/>
      <c r="D18" s="104"/>
      <c r="E18" s="104"/>
      <c r="F18" s="104"/>
      <c r="G18" s="108">
        <f t="shared" si="2"/>
        <v>300</v>
      </c>
      <c r="I18" s="16"/>
      <c r="J18" s="9"/>
      <c r="K18" s="9"/>
      <c r="L18" s="104"/>
      <c r="M18" s="104"/>
      <c r="N18" s="104"/>
      <c r="O18" s="108">
        <f t="shared" si="1"/>
        <v>689.8900000000001</v>
      </c>
    </row>
    <row r="19" spans="1:15" x14ac:dyDescent="0.2">
      <c r="A19" s="16"/>
      <c r="B19" s="9"/>
      <c r="C19" s="9"/>
      <c r="D19" s="104"/>
      <c r="E19" s="104"/>
      <c r="F19" s="104"/>
      <c r="G19" s="108">
        <f t="shared" si="2"/>
        <v>300</v>
      </c>
      <c r="I19" s="16"/>
      <c r="J19" s="9"/>
      <c r="K19" s="9"/>
      <c r="L19" s="104"/>
      <c r="M19" s="104"/>
      <c r="N19" s="104"/>
      <c r="O19" s="108">
        <f t="shared" si="1"/>
        <v>689.8900000000001</v>
      </c>
    </row>
    <row r="20" spans="1:15" x14ac:dyDescent="0.2">
      <c r="A20" s="16"/>
      <c r="B20" s="9"/>
      <c r="C20" s="9"/>
      <c r="D20" s="104"/>
      <c r="E20" s="104"/>
      <c r="F20" s="104"/>
      <c r="G20" s="108">
        <f t="shared" si="2"/>
        <v>300</v>
      </c>
      <c r="I20" s="16"/>
      <c r="J20" s="9"/>
      <c r="K20" s="9"/>
      <c r="L20" s="104"/>
      <c r="M20" s="104"/>
      <c r="N20" s="104"/>
      <c r="O20" s="108">
        <f t="shared" si="1"/>
        <v>689.8900000000001</v>
      </c>
    </row>
    <row r="21" spans="1:15" x14ac:dyDescent="0.2">
      <c r="A21" s="16"/>
      <c r="B21" s="9"/>
      <c r="C21" s="9"/>
      <c r="D21" s="104"/>
      <c r="E21" s="104"/>
      <c r="F21" s="104"/>
      <c r="G21" s="108">
        <f t="shared" si="2"/>
        <v>300</v>
      </c>
      <c r="I21" s="16"/>
      <c r="J21" s="9"/>
      <c r="K21" s="9"/>
      <c r="L21" s="104"/>
      <c r="M21" s="104"/>
      <c r="N21" s="104"/>
      <c r="O21" s="108">
        <f t="shared" si="1"/>
        <v>689.8900000000001</v>
      </c>
    </row>
    <row r="22" spans="1:15" x14ac:dyDescent="0.2">
      <c r="A22" s="16"/>
      <c r="B22" s="9"/>
      <c r="C22" s="9"/>
      <c r="D22" s="104"/>
      <c r="E22" s="104"/>
      <c r="F22" s="104"/>
      <c r="G22" s="108">
        <f t="shared" si="2"/>
        <v>300</v>
      </c>
      <c r="I22" s="16"/>
      <c r="J22" s="9"/>
      <c r="K22" s="9"/>
      <c r="L22" s="104"/>
      <c r="M22" s="104"/>
      <c r="N22" s="104"/>
      <c r="O22" s="108">
        <f t="shared" si="1"/>
        <v>689.8900000000001</v>
      </c>
    </row>
    <row r="23" spans="1:15" x14ac:dyDescent="0.2">
      <c r="A23" s="40"/>
      <c r="B23" s="41"/>
      <c r="C23" s="41"/>
      <c r="D23" s="99"/>
      <c r="E23" s="99"/>
      <c r="F23" s="99"/>
      <c r="G23" s="100"/>
      <c r="I23" s="40"/>
      <c r="J23" s="41"/>
      <c r="K23" s="41"/>
      <c r="L23" s="99"/>
      <c r="M23" s="99"/>
      <c r="N23" s="99"/>
      <c r="O23" s="100"/>
    </row>
    <row r="24" spans="1:15" ht="13.5" thickBot="1" x14ac:dyDescent="0.25">
      <c r="A24" s="42" t="s">
        <v>3</v>
      </c>
      <c r="B24" s="43"/>
      <c r="C24" s="43"/>
      <c r="D24" s="76"/>
      <c r="E24" s="107"/>
      <c r="F24" s="107"/>
      <c r="G24" s="211">
        <f>G22</f>
        <v>300</v>
      </c>
      <c r="I24" s="42" t="s">
        <v>3</v>
      </c>
      <c r="J24" s="43"/>
      <c r="K24" s="43"/>
      <c r="L24" s="76"/>
      <c r="M24" s="107"/>
      <c r="N24" s="107"/>
      <c r="O24" s="211">
        <f>O22</f>
        <v>689.8900000000001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8"/>
  <dimension ref="A1:O29"/>
  <sheetViews>
    <sheetView workbookViewId="0">
      <selection sqref="A1:G1"/>
    </sheetView>
  </sheetViews>
  <sheetFormatPr defaultRowHeight="12.75" x14ac:dyDescent="0.2"/>
  <cols>
    <col min="1" max="1" width="11.5703125" bestFit="1" customWidth="1"/>
    <col min="2" max="2" width="10.7109375" bestFit="1" customWidth="1"/>
    <col min="3" max="3" width="22" customWidth="1"/>
    <col min="4" max="4" width="12.28515625" bestFit="1" customWidth="1"/>
    <col min="5" max="5" width="12.5703125" customWidth="1"/>
    <col min="6" max="6" width="10.42578125" bestFit="1" customWidth="1"/>
    <col min="7" max="7" width="11.7109375" customWidth="1"/>
    <col min="9" max="9" width="11.5703125" bestFit="1" customWidth="1"/>
    <col min="10" max="10" width="10.7109375" bestFit="1" customWidth="1"/>
    <col min="11" max="11" width="22" customWidth="1"/>
    <col min="12" max="12" width="12.28515625" bestFit="1" customWidth="1"/>
    <col min="13" max="13" width="12.5703125" customWidth="1"/>
    <col min="14" max="14" width="10.42578125" bestFit="1" customWidth="1"/>
    <col min="15" max="15" width="11.710937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62</v>
      </c>
      <c r="B4" s="363"/>
      <c r="C4" s="363"/>
      <c r="D4" s="363"/>
      <c r="E4" s="363"/>
      <c r="F4" s="363"/>
      <c r="G4" s="364"/>
      <c r="I4" s="362" t="s">
        <v>62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.7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4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4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247"/>
      <c r="J8" s="238"/>
      <c r="K8" s="238" t="s">
        <v>74</v>
      </c>
      <c r="L8" s="248"/>
      <c r="M8" s="248"/>
      <c r="N8" s="248"/>
      <c r="O8" s="249">
        <f>L8</f>
        <v>0</v>
      </c>
    </row>
    <row r="9" spans="1:15" x14ac:dyDescent="0.2">
      <c r="A9" s="14"/>
      <c r="B9" s="9"/>
      <c r="C9" s="9"/>
      <c r="D9" s="15"/>
      <c r="E9" s="10"/>
      <c r="F9" s="21"/>
      <c r="G9" s="22">
        <f>SUM(G8+D9-E9-F9)</f>
        <v>0</v>
      </c>
      <c r="I9" s="14"/>
      <c r="J9" s="9"/>
      <c r="K9" s="9"/>
      <c r="L9" s="15"/>
      <c r="M9" s="10"/>
      <c r="N9" s="21"/>
      <c r="O9" s="22">
        <f>SUM(O8+L9-M9-N9)</f>
        <v>0</v>
      </c>
    </row>
    <row r="10" spans="1:15" x14ac:dyDescent="0.2">
      <c r="A10" s="29"/>
      <c r="B10" s="27"/>
      <c r="C10" s="27"/>
      <c r="D10" s="10"/>
      <c r="E10" s="10"/>
      <c r="F10" s="10"/>
      <c r="G10" s="22">
        <f t="shared" ref="G10:G12" si="0">SUM(G9+D10-E10-F10)</f>
        <v>0</v>
      </c>
      <c r="I10" s="29"/>
      <c r="J10" s="27"/>
      <c r="K10" s="27"/>
      <c r="L10" s="10"/>
      <c r="M10" s="10"/>
      <c r="N10" s="10"/>
      <c r="O10" s="22">
        <f t="shared" ref="O10:O27" si="1">SUM(O9+L10-M10-N10)</f>
        <v>0</v>
      </c>
    </row>
    <row r="11" spans="1:15" x14ac:dyDescent="0.2">
      <c r="A11" s="29"/>
      <c r="B11" s="27"/>
      <c r="C11" s="27"/>
      <c r="D11" s="10"/>
      <c r="E11" s="10"/>
      <c r="F11" s="10"/>
      <c r="G11" s="22">
        <f t="shared" si="0"/>
        <v>0</v>
      </c>
      <c r="I11" s="29"/>
      <c r="J11" s="27"/>
      <c r="K11" s="27"/>
      <c r="L11" s="10"/>
      <c r="M11" s="10"/>
      <c r="N11" s="10"/>
      <c r="O11" s="22">
        <f t="shared" si="1"/>
        <v>0</v>
      </c>
    </row>
    <row r="12" spans="1:15" x14ac:dyDescent="0.2">
      <c r="A12" s="29"/>
      <c r="B12" s="27"/>
      <c r="C12" s="27"/>
      <c r="D12" s="10"/>
      <c r="E12" s="10"/>
      <c r="F12" s="10"/>
      <c r="G12" s="22">
        <f t="shared" si="0"/>
        <v>0</v>
      </c>
      <c r="I12" s="29"/>
      <c r="J12" s="27"/>
      <c r="K12" s="27"/>
      <c r="L12" s="10"/>
      <c r="M12" s="10"/>
      <c r="N12" s="10"/>
      <c r="O12" s="22">
        <f t="shared" si="1"/>
        <v>0</v>
      </c>
    </row>
    <row r="13" spans="1:15" x14ac:dyDescent="0.2">
      <c r="A13" s="29"/>
      <c r="B13" s="27"/>
      <c r="C13" s="27"/>
      <c r="D13" s="10"/>
      <c r="E13" s="10"/>
      <c r="F13" s="10"/>
      <c r="G13" s="22">
        <f t="shared" ref="G13:G27" si="2">SUM(G12+D13-E13-F13)</f>
        <v>0</v>
      </c>
      <c r="I13" s="29"/>
      <c r="J13" s="27"/>
      <c r="K13" s="27"/>
      <c r="L13" s="10"/>
      <c r="M13" s="10"/>
      <c r="N13" s="10"/>
      <c r="O13" s="22">
        <f t="shared" si="1"/>
        <v>0</v>
      </c>
    </row>
    <row r="14" spans="1:15" x14ac:dyDescent="0.2">
      <c r="A14" s="29"/>
      <c r="B14" s="27"/>
      <c r="C14" s="27"/>
      <c r="D14" s="10"/>
      <c r="E14" s="10"/>
      <c r="F14" s="10"/>
      <c r="G14" s="22">
        <f t="shared" si="2"/>
        <v>0</v>
      </c>
      <c r="I14" s="29"/>
      <c r="J14" s="27"/>
      <c r="K14" s="27"/>
      <c r="L14" s="10"/>
      <c r="M14" s="10"/>
      <c r="N14" s="10"/>
      <c r="O14" s="22">
        <f t="shared" si="1"/>
        <v>0</v>
      </c>
    </row>
    <row r="15" spans="1:15" x14ac:dyDescent="0.2">
      <c r="A15" s="29"/>
      <c r="B15" s="27"/>
      <c r="C15" s="27"/>
      <c r="D15" s="10"/>
      <c r="E15" s="10"/>
      <c r="F15" s="10"/>
      <c r="G15" s="22">
        <f t="shared" si="2"/>
        <v>0</v>
      </c>
      <c r="I15" s="29"/>
      <c r="J15" s="27"/>
      <c r="K15" s="27"/>
      <c r="L15" s="10"/>
      <c r="M15" s="10"/>
      <c r="N15" s="10"/>
      <c r="O15" s="22">
        <f t="shared" si="1"/>
        <v>0</v>
      </c>
    </row>
    <row r="16" spans="1:15" x14ac:dyDescent="0.2">
      <c r="A16" s="29"/>
      <c r="B16" s="27"/>
      <c r="C16" s="27"/>
      <c r="D16" s="10"/>
      <c r="E16" s="10"/>
      <c r="F16" s="10"/>
      <c r="G16" s="22">
        <f t="shared" si="2"/>
        <v>0</v>
      </c>
      <c r="I16" s="29"/>
      <c r="J16" s="27"/>
      <c r="K16" s="27"/>
      <c r="L16" s="10"/>
      <c r="M16" s="10"/>
      <c r="N16" s="10"/>
      <c r="O16" s="22">
        <f t="shared" si="1"/>
        <v>0</v>
      </c>
    </row>
    <row r="17" spans="1:15" x14ac:dyDescent="0.2">
      <c r="A17" s="29"/>
      <c r="B17" s="27"/>
      <c r="C17" s="27"/>
      <c r="D17" s="10"/>
      <c r="E17" s="10"/>
      <c r="F17" s="10"/>
      <c r="G17" s="22">
        <f t="shared" si="2"/>
        <v>0</v>
      </c>
      <c r="I17" s="29"/>
      <c r="J17" s="27"/>
      <c r="K17" s="27"/>
      <c r="L17" s="10"/>
      <c r="M17" s="10"/>
      <c r="N17" s="10"/>
      <c r="O17" s="22">
        <f t="shared" si="1"/>
        <v>0</v>
      </c>
    </row>
    <row r="18" spans="1:15" x14ac:dyDescent="0.2">
      <c r="A18" s="29"/>
      <c r="B18" s="27"/>
      <c r="C18" s="27"/>
      <c r="D18" s="10"/>
      <c r="E18" s="10"/>
      <c r="F18" s="10"/>
      <c r="G18" s="22">
        <f t="shared" si="2"/>
        <v>0</v>
      </c>
      <c r="I18" s="29"/>
      <c r="J18" s="27"/>
      <c r="K18" s="27"/>
      <c r="L18" s="10"/>
      <c r="M18" s="10"/>
      <c r="N18" s="10"/>
      <c r="O18" s="22">
        <f t="shared" si="1"/>
        <v>0</v>
      </c>
    </row>
    <row r="19" spans="1:15" x14ac:dyDescent="0.2">
      <c r="A19" s="29"/>
      <c r="B19" s="27"/>
      <c r="C19" s="27"/>
      <c r="D19" s="10"/>
      <c r="E19" s="10"/>
      <c r="F19" s="10"/>
      <c r="G19" s="22">
        <f t="shared" si="2"/>
        <v>0</v>
      </c>
      <c r="I19" s="29"/>
      <c r="J19" s="27"/>
      <c r="K19" s="27"/>
      <c r="L19" s="10"/>
      <c r="M19" s="10"/>
      <c r="N19" s="10"/>
      <c r="O19" s="22">
        <f t="shared" si="1"/>
        <v>0</v>
      </c>
    </row>
    <row r="20" spans="1:15" x14ac:dyDescent="0.2">
      <c r="A20" s="29"/>
      <c r="B20" s="27"/>
      <c r="C20" s="27"/>
      <c r="D20" s="10"/>
      <c r="E20" s="10"/>
      <c r="F20" s="10"/>
      <c r="G20" s="22">
        <f t="shared" si="2"/>
        <v>0</v>
      </c>
      <c r="I20" s="29"/>
      <c r="J20" s="27"/>
      <c r="K20" s="27"/>
      <c r="L20" s="10"/>
      <c r="M20" s="10"/>
      <c r="N20" s="10"/>
      <c r="O20" s="22">
        <f t="shared" si="1"/>
        <v>0</v>
      </c>
    </row>
    <row r="21" spans="1:15" x14ac:dyDescent="0.2">
      <c r="A21" s="29"/>
      <c r="B21" s="27"/>
      <c r="C21" s="27"/>
      <c r="D21" s="10"/>
      <c r="E21" s="10"/>
      <c r="F21" s="10"/>
      <c r="G21" s="22">
        <f t="shared" si="2"/>
        <v>0</v>
      </c>
      <c r="I21" s="29"/>
      <c r="J21" s="27"/>
      <c r="K21" s="27"/>
      <c r="L21" s="10"/>
      <c r="M21" s="10"/>
      <c r="N21" s="10"/>
      <c r="O21" s="22">
        <f t="shared" si="1"/>
        <v>0</v>
      </c>
    </row>
    <row r="22" spans="1:15" x14ac:dyDescent="0.2">
      <c r="A22" s="29"/>
      <c r="B22" s="27"/>
      <c r="C22" s="27"/>
      <c r="D22" s="10"/>
      <c r="E22" s="10"/>
      <c r="F22" s="10"/>
      <c r="G22" s="22">
        <f t="shared" si="2"/>
        <v>0</v>
      </c>
      <c r="I22" s="29"/>
      <c r="J22" s="27"/>
      <c r="K22" s="27"/>
      <c r="L22" s="10"/>
      <c r="M22" s="10"/>
      <c r="N22" s="10"/>
      <c r="O22" s="22">
        <f t="shared" si="1"/>
        <v>0</v>
      </c>
    </row>
    <row r="23" spans="1:15" x14ac:dyDescent="0.2">
      <c r="A23" s="29"/>
      <c r="B23" s="27"/>
      <c r="C23" s="27"/>
      <c r="D23" s="10"/>
      <c r="E23" s="10"/>
      <c r="F23" s="10"/>
      <c r="G23" s="22">
        <f t="shared" si="2"/>
        <v>0</v>
      </c>
      <c r="I23" s="29"/>
      <c r="J23" s="27"/>
      <c r="K23" s="27"/>
      <c r="L23" s="10"/>
      <c r="M23" s="10"/>
      <c r="N23" s="10"/>
      <c r="O23" s="22">
        <f t="shared" si="1"/>
        <v>0</v>
      </c>
    </row>
    <row r="24" spans="1:15" x14ac:dyDescent="0.2">
      <c r="A24" s="29"/>
      <c r="B24" s="27"/>
      <c r="C24" s="27"/>
      <c r="D24" s="10"/>
      <c r="E24" s="10"/>
      <c r="F24" s="10"/>
      <c r="G24" s="22">
        <f t="shared" si="2"/>
        <v>0</v>
      </c>
      <c r="I24" s="29"/>
      <c r="J24" s="27"/>
      <c r="K24" s="27"/>
      <c r="L24" s="10"/>
      <c r="M24" s="10"/>
      <c r="N24" s="10"/>
      <c r="O24" s="22">
        <f t="shared" si="1"/>
        <v>0</v>
      </c>
    </row>
    <row r="25" spans="1:15" x14ac:dyDescent="0.2">
      <c r="A25" s="29"/>
      <c r="B25" s="27"/>
      <c r="C25" s="27"/>
      <c r="D25" s="10"/>
      <c r="E25" s="10"/>
      <c r="F25" s="10"/>
      <c r="G25" s="22">
        <f t="shared" si="2"/>
        <v>0</v>
      </c>
      <c r="I25" s="29"/>
      <c r="J25" s="27"/>
      <c r="K25" s="27"/>
      <c r="L25" s="10"/>
      <c r="M25" s="10"/>
      <c r="N25" s="10"/>
      <c r="O25" s="22">
        <f t="shared" si="1"/>
        <v>0</v>
      </c>
    </row>
    <row r="26" spans="1:15" x14ac:dyDescent="0.2">
      <c r="A26" s="29"/>
      <c r="B26" s="27"/>
      <c r="C26" s="27"/>
      <c r="D26" s="10"/>
      <c r="E26" s="10"/>
      <c r="F26" s="10"/>
      <c r="G26" s="22">
        <f t="shared" si="2"/>
        <v>0</v>
      </c>
      <c r="I26" s="29"/>
      <c r="J26" s="27"/>
      <c r="K26" s="27"/>
      <c r="L26" s="10"/>
      <c r="M26" s="10"/>
      <c r="N26" s="10"/>
      <c r="O26" s="22">
        <f t="shared" si="1"/>
        <v>0</v>
      </c>
    </row>
    <row r="27" spans="1:15" x14ac:dyDescent="0.2">
      <c r="A27" s="29"/>
      <c r="B27" s="27"/>
      <c r="C27" s="27"/>
      <c r="D27" s="10"/>
      <c r="E27" s="10"/>
      <c r="F27" s="10"/>
      <c r="G27" s="22">
        <f t="shared" si="2"/>
        <v>0</v>
      </c>
      <c r="I27" s="29"/>
      <c r="J27" s="27"/>
      <c r="K27" s="27"/>
      <c r="L27" s="10"/>
      <c r="M27" s="10"/>
      <c r="N27" s="10"/>
      <c r="O27" s="22">
        <f t="shared" si="1"/>
        <v>0</v>
      </c>
    </row>
    <row r="28" spans="1:15" x14ac:dyDescent="0.2">
      <c r="A28" s="3"/>
      <c r="B28" s="4"/>
      <c r="C28" s="4"/>
      <c r="D28" s="5"/>
      <c r="E28" s="5"/>
      <c r="F28" s="5"/>
      <c r="G28" s="18"/>
      <c r="I28" s="3"/>
      <c r="J28" s="4"/>
      <c r="K28" s="4"/>
      <c r="L28" s="5"/>
      <c r="M28" s="5"/>
      <c r="N28" s="5"/>
      <c r="O28" s="18"/>
    </row>
    <row r="29" spans="1:15" ht="13.5" thickBot="1" x14ac:dyDescent="0.25">
      <c r="A29" s="8" t="s">
        <v>3</v>
      </c>
      <c r="B29" s="6"/>
      <c r="C29" s="6"/>
      <c r="D29" s="13"/>
      <c r="E29" s="7"/>
      <c r="F29" s="7"/>
      <c r="G29" s="212">
        <f>G27</f>
        <v>0</v>
      </c>
      <c r="I29" s="8" t="s">
        <v>3</v>
      </c>
      <c r="J29" s="6"/>
      <c r="K29" s="6"/>
      <c r="L29" s="13"/>
      <c r="M29" s="7"/>
      <c r="N29" s="7"/>
      <c r="O29" s="212">
        <f>O27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O22"/>
  <sheetViews>
    <sheetView workbookViewId="0">
      <selection activeCell="H1" sqref="H1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0.28515625" style="246" bestFit="1" customWidth="1"/>
    <col min="8" max="8" width="9.140625" style="246"/>
    <col min="9" max="9" width="10.28515625" style="246" customWidth="1"/>
    <col min="10" max="10" width="11.7109375" style="246" customWidth="1"/>
    <col min="11" max="11" width="34.42578125" style="246" customWidth="1"/>
    <col min="12" max="12" width="10.28515625" style="246" customWidth="1"/>
    <col min="13" max="13" width="5.42578125" style="246" bestFit="1" customWidth="1"/>
    <col min="14" max="15" width="10.28515625" style="246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42</v>
      </c>
      <c r="B4" s="363"/>
      <c r="C4" s="363"/>
      <c r="D4" s="363"/>
      <c r="E4" s="363"/>
      <c r="F4" s="363"/>
      <c r="G4" s="364"/>
      <c r="I4" s="362" t="s">
        <v>42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I8" s="294"/>
      <c r="J8" s="232"/>
      <c r="K8" s="232" t="s">
        <v>74</v>
      </c>
      <c r="L8" s="295">
        <v>0</v>
      </c>
      <c r="M8" s="295"/>
      <c r="N8" s="295"/>
      <c r="O8" s="296">
        <f>L8</f>
        <v>0</v>
      </c>
    </row>
    <row r="9" spans="1:15" x14ac:dyDescent="0.2">
      <c r="A9" s="116"/>
      <c r="B9" s="245"/>
      <c r="C9" s="271"/>
      <c r="D9" s="186"/>
      <c r="E9" s="186"/>
      <c r="F9" s="186"/>
      <c r="G9" s="297">
        <f>SUM(G8+D9-E9-F9)</f>
        <v>0</v>
      </c>
      <c r="I9" s="116"/>
      <c r="J9" s="245"/>
      <c r="K9" s="271"/>
      <c r="L9" s="186"/>
      <c r="M9" s="186"/>
      <c r="N9" s="186"/>
      <c r="O9" s="297">
        <f>SUM(O8+L9-M9-N9)</f>
        <v>0</v>
      </c>
    </row>
    <row r="10" spans="1:15" x14ac:dyDescent="0.2">
      <c r="A10" s="116"/>
      <c r="B10" s="185"/>
      <c r="C10" s="185"/>
      <c r="D10" s="186"/>
      <c r="E10" s="186"/>
      <c r="F10" s="186"/>
      <c r="G10" s="297">
        <f>SUM(G9+D10-E10-F10)</f>
        <v>0</v>
      </c>
      <c r="I10" s="116"/>
      <c r="J10" s="185"/>
      <c r="K10" s="185"/>
      <c r="L10" s="186"/>
      <c r="M10" s="186"/>
      <c r="N10" s="186"/>
      <c r="O10" s="297">
        <f>SUM(O9+L10-M10-N10)</f>
        <v>0</v>
      </c>
    </row>
    <row r="11" spans="1:15" x14ac:dyDescent="0.2">
      <c r="A11" s="116"/>
      <c r="B11" s="185"/>
      <c r="C11" s="185"/>
      <c r="D11" s="186"/>
      <c r="E11" s="186"/>
      <c r="F11" s="186"/>
      <c r="G11" s="297">
        <f>SUM(G10+D11-E11-F11)</f>
        <v>0</v>
      </c>
      <c r="I11" s="116"/>
      <c r="J11" s="185"/>
      <c r="K11" s="185"/>
      <c r="L11" s="186"/>
      <c r="M11" s="186"/>
      <c r="N11" s="186"/>
      <c r="O11" s="297">
        <f>SUM(O10+L11-M11-N11)</f>
        <v>0</v>
      </c>
    </row>
    <row r="12" spans="1:15" ht="12" customHeight="1" x14ac:dyDescent="0.2">
      <c r="A12" s="120"/>
      <c r="B12" s="117"/>
      <c r="C12" s="117"/>
      <c r="D12" s="165"/>
      <c r="E12" s="165"/>
      <c r="F12" s="165"/>
      <c r="G12" s="297">
        <f t="shared" ref="G12:G16" si="0">SUM(G11+D12-E12-F12)</f>
        <v>0</v>
      </c>
      <c r="I12" s="120"/>
      <c r="J12" s="117"/>
      <c r="K12" s="117"/>
      <c r="L12" s="165"/>
      <c r="M12" s="165"/>
      <c r="N12" s="165"/>
      <c r="O12" s="297">
        <f t="shared" ref="O12:O20" si="1">SUM(O11+L12-M12-N12)</f>
        <v>0</v>
      </c>
    </row>
    <row r="13" spans="1:15" x14ac:dyDescent="0.2">
      <c r="A13" s="120"/>
      <c r="B13" s="117"/>
      <c r="C13" s="117"/>
      <c r="D13" s="165"/>
      <c r="E13" s="165"/>
      <c r="F13" s="165"/>
      <c r="G13" s="297">
        <f t="shared" si="0"/>
        <v>0</v>
      </c>
      <c r="I13" s="120"/>
      <c r="J13" s="117"/>
      <c r="K13" s="117"/>
      <c r="L13" s="165"/>
      <c r="M13" s="165"/>
      <c r="N13" s="165"/>
      <c r="O13" s="297">
        <f t="shared" si="1"/>
        <v>0</v>
      </c>
    </row>
    <row r="14" spans="1:15" x14ac:dyDescent="0.2">
      <c r="A14" s="120"/>
      <c r="B14" s="117"/>
      <c r="C14" s="117"/>
      <c r="D14" s="165"/>
      <c r="E14" s="165"/>
      <c r="F14" s="165"/>
      <c r="G14" s="297">
        <f t="shared" si="0"/>
        <v>0</v>
      </c>
      <c r="I14" s="120"/>
      <c r="J14" s="117"/>
      <c r="K14" s="117"/>
      <c r="L14" s="165"/>
      <c r="M14" s="165"/>
      <c r="N14" s="165"/>
      <c r="O14" s="297">
        <f t="shared" si="1"/>
        <v>0</v>
      </c>
    </row>
    <row r="15" spans="1:15" x14ac:dyDescent="0.2">
      <c r="A15" s="120"/>
      <c r="B15" s="117"/>
      <c r="C15" s="117"/>
      <c r="D15" s="165"/>
      <c r="E15" s="165"/>
      <c r="F15" s="165"/>
      <c r="G15" s="297">
        <f t="shared" si="0"/>
        <v>0</v>
      </c>
      <c r="I15" s="120"/>
      <c r="J15" s="117"/>
      <c r="K15" s="117"/>
      <c r="L15" s="165"/>
      <c r="M15" s="165"/>
      <c r="N15" s="165"/>
      <c r="O15" s="297">
        <f t="shared" si="1"/>
        <v>0</v>
      </c>
    </row>
    <row r="16" spans="1:15" x14ac:dyDescent="0.2">
      <c r="A16" s="120"/>
      <c r="B16" s="117"/>
      <c r="C16" s="117"/>
      <c r="D16" s="165"/>
      <c r="E16" s="165"/>
      <c r="F16" s="165"/>
      <c r="G16" s="297">
        <f t="shared" si="0"/>
        <v>0</v>
      </c>
      <c r="I16" s="120"/>
      <c r="J16" s="117"/>
      <c r="K16" s="117"/>
      <c r="L16" s="165"/>
      <c r="M16" s="165"/>
      <c r="N16" s="165"/>
      <c r="O16" s="297">
        <f t="shared" si="1"/>
        <v>0</v>
      </c>
    </row>
    <row r="17" spans="1:15" x14ac:dyDescent="0.2">
      <c r="A17" s="120"/>
      <c r="B17" s="117"/>
      <c r="C17" s="117"/>
      <c r="D17" s="165"/>
      <c r="E17" s="165"/>
      <c r="F17" s="165"/>
      <c r="G17" s="298">
        <f t="shared" ref="G17:G20" si="2">SUM(G16+D17-E17-F17)</f>
        <v>0</v>
      </c>
      <c r="I17" s="120"/>
      <c r="J17" s="117"/>
      <c r="K17" s="117"/>
      <c r="L17" s="165"/>
      <c r="M17" s="165"/>
      <c r="N17" s="165"/>
      <c r="O17" s="298">
        <f t="shared" si="1"/>
        <v>0</v>
      </c>
    </row>
    <row r="18" spans="1:15" x14ac:dyDescent="0.2">
      <c r="A18" s="120"/>
      <c r="B18" s="117"/>
      <c r="C18" s="117"/>
      <c r="D18" s="165"/>
      <c r="E18" s="165"/>
      <c r="F18" s="165"/>
      <c r="G18" s="298">
        <f t="shared" si="2"/>
        <v>0</v>
      </c>
      <c r="I18" s="120"/>
      <c r="J18" s="117"/>
      <c r="K18" s="117"/>
      <c r="L18" s="165"/>
      <c r="M18" s="165"/>
      <c r="N18" s="165"/>
      <c r="O18" s="298">
        <f t="shared" si="1"/>
        <v>0</v>
      </c>
    </row>
    <row r="19" spans="1:15" x14ac:dyDescent="0.2">
      <c r="A19" s="120"/>
      <c r="B19" s="117"/>
      <c r="C19" s="117"/>
      <c r="D19" s="165"/>
      <c r="E19" s="165"/>
      <c r="F19" s="165"/>
      <c r="G19" s="298">
        <f t="shared" si="2"/>
        <v>0</v>
      </c>
      <c r="I19" s="120"/>
      <c r="J19" s="117"/>
      <c r="K19" s="117"/>
      <c r="L19" s="165"/>
      <c r="M19" s="165"/>
      <c r="N19" s="165"/>
      <c r="O19" s="298">
        <f t="shared" si="1"/>
        <v>0</v>
      </c>
    </row>
    <row r="20" spans="1:15" ht="13.5" thickBot="1" x14ac:dyDescent="0.25">
      <c r="A20" s="121"/>
      <c r="B20" s="122"/>
      <c r="C20" s="122"/>
      <c r="D20" s="167"/>
      <c r="E20" s="167"/>
      <c r="F20" s="167"/>
      <c r="G20" s="168">
        <f t="shared" si="2"/>
        <v>0</v>
      </c>
      <c r="I20" s="121"/>
      <c r="J20" s="122"/>
      <c r="K20" s="122"/>
      <c r="L20" s="167"/>
      <c r="M20" s="167"/>
      <c r="N20" s="167"/>
      <c r="O20" s="168">
        <f t="shared" si="1"/>
        <v>0</v>
      </c>
    </row>
    <row r="21" spans="1:15" ht="13.5" thickTop="1" x14ac:dyDescent="0.2">
      <c r="A21" s="113"/>
      <c r="B21" s="114"/>
      <c r="C21" s="114"/>
      <c r="D21" s="161"/>
      <c r="E21" s="161"/>
      <c r="F21" s="161"/>
      <c r="G21" s="162"/>
      <c r="I21" s="113"/>
      <c r="J21" s="114"/>
      <c r="K21" s="114"/>
      <c r="L21" s="161"/>
      <c r="M21" s="161"/>
      <c r="N21" s="161"/>
      <c r="O21" s="162"/>
    </row>
    <row r="22" spans="1:15" ht="13.5" thickBot="1" x14ac:dyDescent="0.25">
      <c r="A22" s="124" t="s">
        <v>3</v>
      </c>
      <c r="B22" s="125"/>
      <c r="C22" s="125"/>
      <c r="D22" s="159"/>
      <c r="E22" s="169"/>
      <c r="F22" s="169"/>
      <c r="G22" s="209">
        <f>G20</f>
        <v>0</v>
      </c>
      <c r="I22" s="124" t="s">
        <v>3</v>
      </c>
      <c r="J22" s="125"/>
      <c r="K22" s="125"/>
      <c r="L22" s="159"/>
      <c r="M22" s="169"/>
      <c r="N22" s="169"/>
      <c r="O22" s="209">
        <f>O20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300-000000000000}"/>
  </hyperlinks>
  <pageMargins left="0.7" right="0.7" top="0.75" bottom="0.75" header="0.3" footer="0.3"/>
  <pageSetup scale="91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9"/>
  <dimension ref="A1:O30"/>
  <sheetViews>
    <sheetView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0.7109375" bestFit="1" customWidth="1"/>
    <col min="3" max="3" width="22" customWidth="1"/>
    <col min="4" max="4" width="12.28515625" bestFit="1" customWidth="1"/>
    <col min="5" max="5" width="12.5703125" customWidth="1"/>
    <col min="6" max="6" width="10.42578125" bestFit="1" customWidth="1"/>
    <col min="7" max="7" width="11.7109375" customWidth="1"/>
    <col min="9" max="9" width="11.5703125" bestFit="1" customWidth="1"/>
    <col min="10" max="10" width="10.7109375" bestFit="1" customWidth="1"/>
    <col min="11" max="11" width="22" customWidth="1"/>
    <col min="12" max="12" width="12.28515625" bestFit="1" customWidth="1"/>
    <col min="13" max="13" width="12.5703125" customWidth="1"/>
    <col min="14" max="14" width="10.42578125" bestFit="1" customWidth="1"/>
    <col min="15" max="15" width="11.710937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63</v>
      </c>
      <c r="B4" s="363"/>
      <c r="C4" s="363"/>
      <c r="D4" s="363"/>
      <c r="E4" s="363"/>
      <c r="F4" s="363"/>
      <c r="G4" s="364"/>
      <c r="I4" s="362" t="s">
        <v>63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.75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4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4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3936.09</v>
      </c>
      <c r="I8" s="247"/>
      <c r="J8" s="238"/>
      <c r="K8" s="238" t="s">
        <v>74</v>
      </c>
      <c r="L8" s="248"/>
      <c r="M8" s="248"/>
      <c r="N8" s="248"/>
      <c r="O8" s="249">
        <v>1190.82</v>
      </c>
    </row>
    <row r="9" spans="1:15" x14ac:dyDescent="0.2">
      <c r="A9" s="14">
        <v>43011</v>
      </c>
      <c r="B9" s="9" t="s">
        <v>122</v>
      </c>
      <c r="C9" s="63" t="s">
        <v>123</v>
      </c>
      <c r="D9" s="15"/>
      <c r="E9" s="10"/>
      <c r="F9" s="21">
        <v>1250</v>
      </c>
      <c r="G9" s="22">
        <f>SUM(G8+D9-E9-F9)</f>
        <v>2686.09</v>
      </c>
      <c r="I9" s="14"/>
      <c r="J9" s="9"/>
      <c r="K9" s="9"/>
      <c r="L9" s="15"/>
      <c r="M9" s="10"/>
      <c r="N9" s="21"/>
      <c r="O9" s="22">
        <f>SUM(O8+L9-M9-N9)</f>
        <v>1190.82</v>
      </c>
    </row>
    <row r="10" spans="1:15" x14ac:dyDescent="0.2">
      <c r="A10" s="14">
        <v>43045</v>
      </c>
      <c r="B10" s="9" t="s">
        <v>122</v>
      </c>
      <c r="C10" s="63" t="s">
        <v>160</v>
      </c>
      <c r="D10" s="15"/>
      <c r="E10" s="10"/>
      <c r="F10" s="21">
        <v>531.20000000000005</v>
      </c>
      <c r="G10" s="22">
        <f>SUM(G9+D10-E10-F10)</f>
        <v>2154.8900000000003</v>
      </c>
      <c r="I10" s="14"/>
      <c r="J10" s="9"/>
      <c r="K10" s="9"/>
      <c r="L10" s="15"/>
      <c r="M10" s="10"/>
      <c r="N10" s="21"/>
      <c r="O10" s="22">
        <f>SUM(O9+L10-M10-N10)</f>
        <v>1190.82</v>
      </c>
    </row>
    <row r="11" spans="1:15" x14ac:dyDescent="0.2">
      <c r="A11" s="14">
        <v>43045</v>
      </c>
      <c r="B11" s="9" t="s">
        <v>122</v>
      </c>
      <c r="C11" s="27" t="s">
        <v>161</v>
      </c>
      <c r="D11" s="10"/>
      <c r="E11" s="10"/>
      <c r="F11" s="10">
        <v>269.94</v>
      </c>
      <c r="G11" s="22">
        <f t="shared" ref="G11" si="0">SUM(G10+D11-E11-F11)</f>
        <v>1884.9500000000003</v>
      </c>
      <c r="I11" s="29"/>
      <c r="J11" s="27"/>
      <c r="K11" s="27"/>
      <c r="L11" s="10"/>
      <c r="M11" s="10"/>
      <c r="N11" s="10"/>
      <c r="O11" s="22">
        <f t="shared" ref="O11:O28" si="1">SUM(O10+L11-M11-N11)</f>
        <v>1190.82</v>
      </c>
    </row>
    <row r="12" spans="1:15" x14ac:dyDescent="0.2">
      <c r="A12" s="14">
        <v>43066</v>
      </c>
      <c r="B12" s="9" t="s">
        <v>122</v>
      </c>
      <c r="C12" s="51" t="s">
        <v>160</v>
      </c>
      <c r="D12" s="15"/>
      <c r="E12" s="15"/>
      <c r="F12" s="15">
        <v>689.15</v>
      </c>
      <c r="G12" s="22">
        <f>SUM(G11+D12-E12-F12)</f>
        <v>1195.8000000000002</v>
      </c>
      <c r="I12" s="29"/>
      <c r="J12" s="27"/>
      <c r="K12" s="27"/>
      <c r="L12" s="10"/>
      <c r="M12" s="10"/>
      <c r="N12" s="10"/>
      <c r="O12" s="22">
        <f t="shared" si="1"/>
        <v>1190.82</v>
      </c>
    </row>
    <row r="13" spans="1:15" x14ac:dyDescent="0.2">
      <c r="A13" s="14"/>
      <c r="B13" s="27"/>
      <c r="C13" s="325" t="s">
        <v>162</v>
      </c>
      <c r="D13" s="326"/>
      <c r="E13" s="326"/>
      <c r="F13" s="326">
        <v>335</v>
      </c>
      <c r="G13" s="22">
        <f>SUM(G12+D13-E13-F13)</f>
        <v>860.80000000000018</v>
      </c>
      <c r="I13" s="29"/>
      <c r="J13" s="27"/>
      <c r="K13" s="27"/>
      <c r="L13" s="10"/>
      <c r="M13" s="10"/>
      <c r="N13" s="10"/>
      <c r="O13" s="22">
        <f t="shared" si="1"/>
        <v>1190.82</v>
      </c>
    </row>
    <row r="14" spans="1:15" x14ac:dyDescent="0.2">
      <c r="A14" s="14"/>
      <c r="B14" s="27"/>
      <c r="C14" s="27"/>
      <c r="D14" s="10"/>
      <c r="E14" s="10"/>
      <c r="F14" s="10">
        <v>0</v>
      </c>
      <c r="G14" s="22">
        <f t="shared" ref="G14:G28" si="2">SUM(G13+D14-E14-F14)</f>
        <v>860.80000000000018</v>
      </c>
      <c r="I14" s="29"/>
      <c r="J14" s="27"/>
      <c r="K14" s="27"/>
      <c r="L14" s="10"/>
      <c r="M14" s="10"/>
      <c r="N14" s="10"/>
      <c r="O14" s="22">
        <f t="shared" si="1"/>
        <v>1190.82</v>
      </c>
    </row>
    <row r="15" spans="1:15" x14ac:dyDescent="0.2">
      <c r="A15" s="14"/>
      <c r="B15" s="27"/>
      <c r="C15" s="27"/>
      <c r="D15" s="10"/>
      <c r="E15" s="10"/>
      <c r="F15" s="10"/>
      <c r="G15" s="22">
        <f t="shared" si="2"/>
        <v>860.80000000000018</v>
      </c>
      <c r="I15" s="29"/>
      <c r="J15" s="27"/>
      <c r="K15" s="27"/>
      <c r="L15" s="10"/>
      <c r="M15" s="10"/>
      <c r="N15" s="10"/>
      <c r="O15" s="22">
        <f t="shared" si="1"/>
        <v>1190.82</v>
      </c>
    </row>
    <row r="16" spans="1:15" x14ac:dyDescent="0.2">
      <c r="A16" s="14"/>
      <c r="B16" s="27"/>
      <c r="C16" s="27"/>
      <c r="D16" s="10"/>
      <c r="E16" s="10"/>
      <c r="F16" s="10"/>
      <c r="G16" s="22">
        <f t="shared" si="2"/>
        <v>860.80000000000018</v>
      </c>
      <c r="I16" s="29"/>
      <c r="J16" s="27"/>
      <c r="K16" s="27"/>
      <c r="L16" s="10"/>
      <c r="M16" s="10"/>
      <c r="N16" s="10"/>
      <c r="O16" s="22">
        <f t="shared" si="1"/>
        <v>1190.82</v>
      </c>
    </row>
    <row r="17" spans="1:15" x14ac:dyDescent="0.2">
      <c r="A17" s="14"/>
      <c r="B17" s="27"/>
      <c r="C17" s="27"/>
      <c r="D17" s="10"/>
      <c r="E17" s="10"/>
      <c r="F17" s="10"/>
      <c r="G17" s="22">
        <f t="shared" si="2"/>
        <v>860.80000000000018</v>
      </c>
      <c r="I17" s="29"/>
      <c r="J17" s="27"/>
      <c r="K17" s="27"/>
      <c r="L17" s="10"/>
      <c r="M17" s="10"/>
      <c r="N17" s="10"/>
      <c r="O17" s="22">
        <f t="shared" si="1"/>
        <v>1190.82</v>
      </c>
    </row>
    <row r="18" spans="1:15" x14ac:dyDescent="0.2">
      <c r="A18" s="14"/>
      <c r="B18" s="27"/>
      <c r="C18" s="27"/>
      <c r="D18" s="10"/>
      <c r="E18" s="10"/>
      <c r="F18" s="10"/>
      <c r="G18" s="22">
        <f t="shared" si="2"/>
        <v>860.80000000000018</v>
      </c>
      <c r="I18" s="29"/>
      <c r="J18" s="27"/>
      <c r="K18" s="27"/>
      <c r="L18" s="10"/>
      <c r="M18" s="10"/>
      <c r="N18" s="10"/>
      <c r="O18" s="22">
        <f t="shared" si="1"/>
        <v>1190.82</v>
      </c>
    </row>
    <row r="19" spans="1:15" x14ac:dyDescent="0.2">
      <c r="A19" s="14"/>
      <c r="B19" s="27"/>
      <c r="C19" s="27"/>
      <c r="D19" s="10"/>
      <c r="E19" s="10"/>
      <c r="F19" s="10"/>
      <c r="G19" s="22">
        <f t="shared" si="2"/>
        <v>860.80000000000018</v>
      </c>
      <c r="I19" s="29"/>
      <c r="J19" s="27"/>
      <c r="K19" s="27"/>
      <c r="L19" s="10"/>
      <c r="M19" s="10"/>
      <c r="N19" s="10"/>
      <c r="O19" s="22">
        <f t="shared" si="1"/>
        <v>1190.82</v>
      </c>
    </row>
    <row r="20" spans="1:15" x14ac:dyDescent="0.2">
      <c r="A20" s="14"/>
      <c r="B20" s="27"/>
      <c r="C20" s="27"/>
      <c r="D20" s="10"/>
      <c r="E20" s="10"/>
      <c r="F20" s="10"/>
      <c r="G20" s="22">
        <f t="shared" si="2"/>
        <v>860.80000000000018</v>
      </c>
      <c r="I20" s="29"/>
      <c r="J20" s="27"/>
      <c r="K20" s="27"/>
      <c r="L20" s="10"/>
      <c r="M20" s="10"/>
      <c r="N20" s="10"/>
      <c r="O20" s="22">
        <f t="shared" si="1"/>
        <v>1190.82</v>
      </c>
    </row>
    <row r="21" spans="1:15" x14ac:dyDescent="0.2">
      <c r="A21" s="14"/>
      <c r="B21" s="27"/>
      <c r="C21" s="27"/>
      <c r="D21" s="10"/>
      <c r="E21" s="10"/>
      <c r="F21" s="10"/>
      <c r="G21" s="22">
        <f t="shared" si="2"/>
        <v>860.80000000000018</v>
      </c>
      <c r="I21" s="29"/>
      <c r="J21" s="27"/>
      <c r="K21" s="27"/>
      <c r="L21" s="10"/>
      <c r="M21" s="10"/>
      <c r="N21" s="10"/>
      <c r="O21" s="22">
        <f t="shared" si="1"/>
        <v>1190.82</v>
      </c>
    </row>
    <row r="22" spans="1:15" x14ac:dyDescent="0.2">
      <c r="A22" s="14"/>
      <c r="B22" s="27"/>
      <c r="C22" s="27"/>
      <c r="D22" s="10"/>
      <c r="E22" s="10"/>
      <c r="F22" s="10"/>
      <c r="G22" s="22">
        <f t="shared" si="2"/>
        <v>860.80000000000018</v>
      </c>
      <c r="I22" s="29"/>
      <c r="J22" s="27"/>
      <c r="K22" s="27"/>
      <c r="L22" s="10"/>
      <c r="M22" s="10"/>
      <c r="N22" s="10"/>
      <c r="O22" s="22">
        <f t="shared" si="1"/>
        <v>1190.82</v>
      </c>
    </row>
    <row r="23" spans="1:15" x14ac:dyDescent="0.2">
      <c r="A23" s="14"/>
      <c r="B23" s="27"/>
      <c r="C23" s="27"/>
      <c r="D23" s="10"/>
      <c r="E23" s="10"/>
      <c r="F23" s="10"/>
      <c r="G23" s="22">
        <f t="shared" si="2"/>
        <v>860.80000000000018</v>
      </c>
      <c r="I23" s="29"/>
      <c r="J23" s="27"/>
      <c r="K23" s="27"/>
      <c r="L23" s="10"/>
      <c r="M23" s="10"/>
      <c r="N23" s="10"/>
      <c r="O23" s="22">
        <f t="shared" si="1"/>
        <v>1190.82</v>
      </c>
    </row>
    <row r="24" spans="1:15" x14ac:dyDescent="0.2">
      <c r="A24" s="14"/>
      <c r="B24" s="27"/>
      <c r="C24" s="27"/>
      <c r="D24" s="10"/>
      <c r="E24" s="10"/>
      <c r="F24" s="10"/>
      <c r="G24" s="22">
        <f t="shared" si="2"/>
        <v>860.80000000000018</v>
      </c>
      <c r="I24" s="29"/>
      <c r="J24" s="27"/>
      <c r="K24" s="27"/>
      <c r="L24" s="10"/>
      <c r="M24" s="10"/>
      <c r="N24" s="10"/>
      <c r="O24" s="22">
        <f t="shared" si="1"/>
        <v>1190.82</v>
      </c>
    </row>
    <row r="25" spans="1:15" x14ac:dyDescent="0.2">
      <c r="A25" s="14"/>
      <c r="B25" s="27"/>
      <c r="C25" s="27"/>
      <c r="D25" s="10"/>
      <c r="E25" s="10"/>
      <c r="F25" s="10"/>
      <c r="G25" s="22">
        <f t="shared" si="2"/>
        <v>860.80000000000018</v>
      </c>
      <c r="I25" s="29"/>
      <c r="J25" s="27"/>
      <c r="K25" s="27"/>
      <c r="L25" s="10"/>
      <c r="M25" s="10"/>
      <c r="N25" s="10"/>
      <c r="O25" s="22">
        <f t="shared" si="1"/>
        <v>1190.82</v>
      </c>
    </row>
    <row r="26" spans="1:15" x14ac:dyDescent="0.2">
      <c r="A26" s="14"/>
      <c r="B26" s="27"/>
      <c r="C26" s="27"/>
      <c r="D26" s="10"/>
      <c r="E26" s="10"/>
      <c r="F26" s="10"/>
      <c r="G26" s="22">
        <f t="shared" si="2"/>
        <v>860.80000000000018</v>
      </c>
      <c r="I26" s="29"/>
      <c r="J26" s="27"/>
      <c r="K26" s="27"/>
      <c r="L26" s="10"/>
      <c r="M26" s="10"/>
      <c r="N26" s="10"/>
      <c r="O26" s="22">
        <f t="shared" si="1"/>
        <v>1190.82</v>
      </c>
    </row>
    <row r="27" spans="1:15" x14ac:dyDescent="0.2">
      <c r="A27" s="14"/>
      <c r="B27" s="27"/>
      <c r="C27" s="27"/>
      <c r="D27" s="10"/>
      <c r="E27" s="10"/>
      <c r="F27" s="10"/>
      <c r="G27" s="22">
        <f t="shared" si="2"/>
        <v>860.80000000000018</v>
      </c>
      <c r="I27" s="29"/>
      <c r="J27" s="27"/>
      <c r="K27" s="27"/>
      <c r="L27" s="10"/>
      <c r="M27" s="10"/>
      <c r="N27" s="10"/>
      <c r="O27" s="22">
        <f t="shared" si="1"/>
        <v>1190.82</v>
      </c>
    </row>
    <row r="28" spans="1:15" x14ac:dyDescent="0.2">
      <c r="A28" s="14"/>
      <c r="B28" s="27"/>
      <c r="C28" s="27"/>
      <c r="D28" s="10"/>
      <c r="E28" s="10"/>
      <c r="F28" s="10"/>
      <c r="G28" s="22">
        <f t="shared" si="2"/>
        <v>860.80000000000018</v>
      </c>
      <c r="I28" s="29"/>
      <c r="J28" s="27"/>
      <c r="K28" s="27"/>
      <c r="L28" s="10"/>
      <c r="M28" s="10"/>
      <c r="N28" s="10"/>
      <c r="O28" s="22">
        <f t="shared" si="1"/>
        <v>1190.82</v>
      </c>
    </row>
    <row r="29" spans="1:15" x14ac:dyDescent="0.2">
      <c r="A29" s="3"/>
      <c r="B29" s="4"/>
      <c r="C29" s="4"/>
      <c r="D29" s="5"/>
      <c r="E29" s="5"/>
      <c r="F29" s="5"/>
      <c r="G29" s="18"/>
      <c r="I29" s="3"/>
      <c r="J29" s="4"/>
      <c r="K29" s="4"/>
      <c r="L29" s="5"/>
      <c r="M29" s="5"/>
      <c r="N29" s="5"/>
      <c r="O29" s="18"/>
    </row>
    <row r="30" spans="1:15" ht="13.5" thickBot="1" x14ac:dyDescent="0.25">
      <c r="A30" s="8" t="s">
        <v>3</v>
      </c>
      <c r="B30" s="6"/>
      <c r="C30" s="6"/>
      <c r="D30" s="13"/>
      <c r="E30" s="7"/>
      <c r="F30" s="7"/>
      <c r="G30" s="212">
        <f>G28</f>
        <v>860.80000000000018</v>
      </c>
      <c r="I30" s="8" t="s">
        <v>3</v>
      </c>
      <c r="J30" s="6"/>
      <c r="K30" s="6"/>
      <c r="L30" s="13"/>
      <c r="M30" s="7"/>
      <c r="N30" s="7"/>
      <c r="O30" s="212">
        <f>O28</f>
        <v>1190.82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7"/>
  <dimension ref="A1:O33"/>
  <sheetViews>
    <sheetView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1.5703125" style="261" customWidth="1"/>
    <col min="3" max="3" width="35.140625" customWidth="1"/>
    <col min="4" max="4" width="12.7109375" customWidth="1"/>
    <col min="5" max="5" width="5.42578125" bestFit="1" customWidth="1"/>
    <col min="6" max="6" width="11.28515625" bestFit="1" customWidth="1"/>
    <col min="7" max="7" width="11.7109375" customWidth="1"/>
    <col min="9" max="9" width="11.5703125" bestFit="1" customWidth="1"/>
    <col min="10" max="10" width="11.5703125" customWidth="1"/>
    <col min="11" max="11" width="35.140625" customWidth="1"/>
    <col min="12" max="12" width="12.7109375" customWidth="1"/>
    <col min="13" max="13" width="5.42578125" bestFit="1" customWidth="1"/>
    <col min="14" max="14" width="11.28515625" bestFit="1" customWidth="1"/>
    <col min="15" max="15" width="11.7109375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60</v>
      </c>
      <c r="B4" s="363"/>
      <c r="C4" s="363"/>
      <c r="D4" s="363"/>
      <c r="E4" s="363"/>
      <c r="F4" s="363"/>
      <c r="G4" s="364"/>
      <c r="I4" s="362" t="s">
        <v>60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7" customHeight="1" thickBot="1" x14ac:dyDescent="0.25">
      <c r="A7" s="222" t="s">
        <v>1</v>
      </c>
      <c r="B7" s="221" t="s">
        <v>12</v>
      </c>
      <c r="C7" s="223" t="s">
        <v>0</v>
      </c>
      <c r="D7" s="224" t="s">
        <v>2</v>
      </c>
      <c r="E7" s="224" t="s">
        <v>8</v>
      </c>
      <c r="F7" s="224" t="s">
        <v>5</v>
      </c>
      <c r="G7" s="225" t="s">
        <v>6</v>
      </c>
      <c r="I7" s="222" t="s">
        <v>1</v>
      </c>
      <c r="J7" s="221" t="s">
        <v>12</v>
      </c>
      <c r="K7" s="223" t="s">
        <v>0</v>
      </c>
      <c r="L7" s="224" t="s">
        <v>2</v>
      </c>
      <c r="M7" s="224" t="s">
        <v>8</v>
      </c>
      <c r="N7" s="224" t="s">
        <v>5</v>
      </c>
      <c r="O7" s="225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4200</v>
      </c>
      <c r="I8" s="247"/>
      <c r="J8" s="238"/>
      <c r="K8" s="63" t="s">
        <v>75</v>
      </c>
      <c r="L8" s="15"/>
      <c r="M8" s="248"/>
      <c r="N8" s="248"/>
      <c r="O8" s="249">
        <v>1900</v>
      </c>
    </row>
    <row r="9" spans="1:15" x14ac:dyDescent="0.2">
      <c r="A9" s="14">
        <v>43075</v>
      </c>
      <c r="B9" s="213">
        <v>11504871</v>
      </c>
      <c r="C9" s="60" t="s">
        <v>194</v>
      </c>
      <c r="D9" s="15"/>
      <c r="E9" s="10"/>
      <c r="F9" s="21">
        <v>4200</v>
      </c>
      <c r="G9" s="22">
        <f t="shared" ref="G9:G30" si="0">SUM(G8+D9-E9-F9)</f>
        <v>0</v>
      </c>
      <c r="I9" s="14">
        <v>43145</v>
      </c>
      <c r="J9" s="213" t="s">
        <v>103</v>
      </c>
      <c r="K9" s="9" t="s">
        <v>237</v>
      </c>
      <c r="L9" s="15"/>
      <c r="M9" s="15"/>
      <c r="N9" s="52">
        <v>96.92</v>
      </c>
      <c r="O9" s="22">
        <f t="shared" ref="O9:O30" si="1">SUM(O8+L9-M9-N9)</f>
        <v>1803.08</v>
      </c>
    </row>
    <row r="10" spans="1:15" ht="25.5" x14ac:dyDescent="0.2">
      <c r="A10" s="14"/>
      <c r="B10" s="235"/>
      <c r="C10" s="63"/>
      <c r="D10" s="15"/>
      <c r="E10" s="10"/>
      <c r="F10" s="21"/>
      <c r="G10" s="22">
        <f t="shared" si="0"/>
        <v>0</v>
      </c>
      <c r="I10" s="14">
        <v>43146</v>
      </c>
      <c r="J10" s="213" t="s">
        <v>105</v>
      </c>
      <c r="K10" s="60" t="s">
        <v>248</v>
      </c>
      <c r="L10" s="15"/>
      <c r="M10" s="15"/>
      <c r="N10" s="52">
        <v>225</v>
      </c>
      <c r="O10" s="22">
        <f t="shared" si="1"/>
        <v>1578.08</v>
      </c>
    </row>
    <row r="11" spans="1:15" x14ac:dyDescent="0.2">
      <c r="A11" s="14"/>
      <c r="B11" s="235"/>
      <c r="C11" s="63"/>
      <c r="D11" s="15"/>
      <c r="E11" s="10"/>
      <c r="F11" s="21"/>
      <c r="G11" s="22">
        <f t="shared" si="0"/>
        <v>0</v>
      </c>
      <c r="I11" s="14"/>
      <c r="J11" s="235"/>
      <c r="K11" s="63"/>
      <c r="L11" s="15"/>
      <c r="M11" s="15"/>
      <c r="N11" s="52"/>
      <c r="O11" s="22">
        <f t="shared" si="1"/>
        <v>1578.08</v>
      </c>
    </row>
    <row r="12" spans="1:15" x14ac:dyDescent="0.2">
      <c r="A12" s="29"/>
      <c r="B12" s="257"/>
      <c r="C12" s="27"/>
      <c r="D12" s="10"/>
      <c r="E12" s="10"/>
      <c r="F12" s="10"/>
      <c r="G12" s="22">
        <f t="shared" si="0"/>
        <v>0</v>
      </c>
      <c r="I12" s="29"/>
      <c r="J12" s="257"/>
      <c r="K12" s="27"/>
      <c r="L12" s="10"/>
      <c r="M12" s="10"/>
      <c r="N12" s="10"/>
      <c r="O12" s="22">
        <f t="shared" si="1"/>
        <v>1578.08</v>
      </c>
    </row>
    <row r="13" spans="1:15" x14ac:dyDescent="0.2">
      <c r="A13" s="29"/>
      <c r="B13" s="257"/>
      <c r="C13" s="27"/>
      <c r="D13" s="10"/>
      <c r="E13" s="10"/>
      <c r="F13" s="10"/>
      <c r="G13" s="22">
        <f t="shared" si="0"/>
        <v>0</v>
      </c>
      <c r="I13" s="29"/>
      <c r="J13" s="257"/>
      <c r="K13" s="27"/>
      <c r="L13" s="10"/>
      <c r="M13" s="10"/>
      <c r="N13" s="10"/>
      <c r="O13" s="22">
        <f t="shared" si="1"/>
        <v>1578.08</v>
      </c>
    </row>
    <row r="14" spans="1:15" x14ac:dyDescent="0.2">
      <c r="A14" s="29"/>
      <c r="B14" s="257"/>
      <c r="C14" s="27"/>
      <c r="D14" s="10"/>
      <c r="E14" s="10"/>
      <c r="F14" s="10"/>
      <c r="G14" s="22">
        <f t="shared" si="0"/>
        <v>0</v>
      </c>
      <c r="I14" s="29"/>
      <c r="J14" s="257"/>
      <c r="K14" s="27"/>
      <c r="L14" s="10"/>
      <c r="M14" s="10"/>
      <c r="N14" s="10"/>
      <c r="O14" s="22">
        <f t="shared" si="1"/>
        <v>1578.08</v>
      </c>
    </row>
    <row r="15" spans="1:15" x14ac:dyDescent="0.2">
      <c r="A15" s="29"/>
      <c r="B15" s="257"/>
      <c r="C15" s="27"/>
      <c r="D15" s="10"/>
      <c r="E15" s="10"/>
      <c r="F15" s="10"/>
      <c r="G15" s="22">
        <f t="shared" si="0"/>
        <v>0</v>
      </c>
      <c r="I15" s="29"/>
      <c r="J15" s="257"/>
      <c r="K15" s="27"/>
      <c r="L15" s="10"/>
      <c r="M15" s="10"/>
      <c r="N15" s="10"/>
      <c r="O15" s="22">
        <f t="shared" si="1"/>
        <v>1578.08</v>
      </c>
    </row>
    <row r="16" spans="1:15" x14ac:dyDescent="0.2">
      <c r="A16" s="29"/>
      <c r="B16" s="257"/>
      <c r="C16" s="27"/>
      <c r="D16" s="10"/>
      <c r="E16" s="10"/>
      <c r="F16" s="10"/>
      <c r="G16" s="22">
        <f t="shared" si="0"/>
        <v>0</v>
      </c>
      <c r="I16" s="29"/>
      <c r="J16" s="257"/>
      <c r="K16" s="27"/>
      <c r="L16" s="10"/>
      <c r="M16" s="10"/>
      <c r="N16" s="10"/>
      <c r="O16" s="22">
        <f t="shared" si="1"/>
        <v>1578.08</v>
      </c>
    </row>
    <row r="17" spans="1:15" x14ac:dyDescent="0.2">
      <c r="A17" s="29"/>
      <c r="B17" s="257"/>
      <c r="C17" s="27"/>
      <c r="D17" s="10"/>
      <c r="E17" s="10"/>
      <c r="F17" s="10"/>
      <c r="G17" s="22">
        <f t="shared" si="0"/>
        <v>0</v>
      </c>
      <c r="I17" s="29"/>
      <c r="J17" s="257"/>
      <c r="K17" s="27"/>
      <c r="L17" s="10"/>
      <c r="M17" s="10"/>
      <c r="N17" s="10"/>
      <c r="O17" s="22">
        <f t="shared" si="1"/>
        <v>1578.08</v>
      </c>
    </row>
    <row r="18" spans="1:15" x14ac:dyDescent="0.2">
      <c r="A18" s="29"/>
      <c r="B18" s="257"/>
      <c r="C18" s="27"/>
      <c r="D18" s="10"/>
      <c r="E18" s="10"/>
      <c r="F18" s="10"/>
      <c r="G18" s="22">
        <f t="shared" si="0"/>
        <v>0</v>
      </c>
      <c r="I18" s="29"/>
      <c r="J18" s="257"/>
      <c r="K18" s="27"/>
      <c r="L18" s="10"/>
      <c r="M18" s="10"/>
      <c r="N18" s="10"/>
      <c r="O18" s="22">
        <f t="shared" si="1"/>
        <v>1578.08</v>
      </c>
    </row>
    <row r="19" spans="1:15" x14ac:dyDescent="0.2">
      <c r="A19" s="29"/>
      <c r="B19" s="257"/>
      <c r="C19" s="27"/>
      <c r="D19" s="10"/>
      <c r="E19" s="10"/>
      <c r="F19" s="10"/>
      <c r="G19" s="22">
        <f t="shared" si="0"/>
        <v>0</v>
      </c>
      <c r="I19" s="29"/>
      <c r="J19" s="257"/>
      <c r="K19" s="27"/>
      <c r="L19" s="10"/>
      <c r="M19" s="10"/>
      <c r="N19" s="10"/>
      <c r="O19" s="22">
        <f t="shared" si="1"/>
        <v>1578.08</v>
      </c>
    </row>
    <row r="20" spans="1:15" x14ac:dyDescent="0.2">
      <c r="A20" s="29"/>
      <c r="B20" s="257"/>
      <c r="C20" s="27"/>
      <c r="D20" s="10"/>
      <c r="E20" s="10"/>
      <c r="F20" s="10"/>
      <c r="G20" s="22">
        <f t="shared" si="0"/>
        <v>0</v>
      </c>
      <c r="I20" s="29"/>
      <c r="J20" s="257"/>
      <c r="K20" s="27"/>
      <c r="L20" s="10"/>
      <c r="M20" s="10"/>
      <c r="N20" s="10"/>
      <c r="O20" s="22">
        <f t="shared" si="1"/>
        <v>1578.08</v>
      </c>
    </row>
    <row r="21" spans="1:15" x14ac:dyDescent="0.2">
      <c r="A21" s="29"/>
      <c r="B21" s="257"/>
      <c r="C21" s="27"/>
      <c r="D21" s="10"/>
      <c r="E21" s="10"/>
      <c r="F21" s="10"/>
      <c r="G21" s="22">
        <f t="shared" si="0"/>
        <v>0</v>
      </c>
      <c r="I21" s="29"/>
      <c r="J21" s="257"/>
      <c r="K21" s="27"/>
      <c r="L21" s="10"/>
      <c r="M21" s="10"/>
      <c r="N21" s="10"/>
      <c r="O21" s="22">
        <f t="shared" si="1"/>
        <v>1578.08</v>
      </c>
    </row>
    <row r="22" spans="1:15" x14ac:dyDescent="0.2">
      <c r="A22" s="29"/>
      <c r="B22" s="257"/>
      <c r="C22" s="27"/>
      <c r="D22" s="10"/>
      <c r="E22" s="10"/>
      <c r="F22" s="10"/>
      <c r="G22" s="22">
        <f t="shared" si="0"/>
        <v>0</v>
      </c>
      <c r="I22" s="29"/>
      <c r="J22" s="257"/>
      <c r="K22" s="27"/>
      <c r="L22" s="10"/>
      <c r="M22" s="10"/>
      <c r="N22" s="10"/>
      <c r="O22" s="22">
        <f t="shared" si="1"/>
        <v>1578.08</v>
      </c>
    </row>
    <row r="23" spans="1:15" x14ac:dyDescent="0.2">
      <c r="A23" s="29"/>
      <c r="B23" s="257"/>
      <c r="C23" s="27"/>
      <c r="D23" s="10"/>
      <c r="E23" s="10"/>
      <c r="F23" s="10"/>
      <c r="G23" s="22">
        <f t="shared" si="0"/>
        <v>0</v>
      </c>
      <c r="I23" s="29"/>
      <c r="J23" s="257"/>
      <c r="K23" s="27"/>
      <c r="L23" s="10"/>
      <c r="M23" s="10"/>
      <c r="N23" s="10"/>
      <c r="O23" s="22">
        <f t="shared" si="1"/>
        <v>1578.08</v>
      </c>
    </row>
    <row r="24" spans="1:15" x14ac:dyDescent="0.2">
      <c r="A24" s="29"/>
      <c r="B24" s="257"/>
      <c r="C24" s="27"/>
      <c r="D24" s="10"/>
      <c r="E24" s="10"/>
      <c r="F24" s="10"/>
      <c r="G24" s="22">
        <f t="shared" si="0"/>
        <v>0</v>
      </c>
      <c r="I24" s="29"/>
      <c r="J24" s="257"/>
      <c r="K24" s="27"/>
      <c r="L24" s="10"/>
      <c r="M24" s="10"/>
      <c r="N24" s="10"/>
      <c r="O24" s="22">
        <f t="shared" si="1"/>
        <v>1578.08</v>
      </c>
    </row>
    <row r="25" spans="1:15" x14ac:dyDescent="0.2">
      <c r="A25" s="29"/>
      <c r="B25" s="257"/>
      <c r="C25" s="27"/>
      <c r="D25" s="10"/>
      <c r="E25" s="10"/>
      <c r="F25" s="10"/>
      <c r="G25" s="22">
        <f t="shared" si="0"/>
        <v>0</v>
      </c>
      <c r="I25" s="29"/>
      <c r="J25" s="257"/>
      <c r="K25" s="27"/>
      <c r="L25" s="10"/>
      <c r="M25" s="10"/>
      <c r="N25" s="10"/>
      <c r="O25" s="22">
        <f t="shared" si="1"/>
        <v>1578.08</v>
      </c>
    </row>
    <row r="26" spans="1:15" x14ac:dyDescent="0.2">
      <c r="A26" s="29"/>
      <c r="B26" s="257"/>
      <c r="C26" s="27"/>
      <c r="D26" s="10"/>
      <c r="E26" s="10"/>
      <c r="F26" s="10"/>
      <c r="G26" s="22">
        <f t="shared" si="0"/>
        <v>0</v>
      </c>
      <c r="I26" s="29"/>
      <c r="J26" s="257"/>
      <c r="K26" s="27"/>
      <c r="L26" s="10"/>
      <c r="M26" s="10"/>
      <c r="N26" s="10"/>
      <c r="O26" s="22">
        <f t="shared" si="1"/>
        <v>1578.08</v>
      </c>
    </row>
    <row r="27" spans="1:15" x14ac:dyDescent="0.2">
      <c r="A27" s="29"/>
      <c r="B27" s="257"/>
      <c r="C27" s="27"/>
      <c r="D27" s="10"/>
      <c r="E27" s="10"/>
      <c r="F27" s="10"/>
      <c r="G27" s="22">
        <f t="shared" si="0"/>
        <v>0</v>
      </c>
      <c r="I27" s="29"/>
      <c r="J27" s="257"/>
      <c r="K27" s="27"/>
      <c r="L27" s="10"/>
      <c r="M27" s="10"/>
      <c r="N27" s="10"/>
      <c r="O27" s="22">
        <f t="shared" si="1"/>
        <v>1578.08</v>
      </c>
    </row>
    <row r="28" spans="1:15" x14ac:dyDescent="0.2">
      <c r="A28" s="29"/>
      <c r="B28" s="257"/>
      <c r="C28" s="27"/>
      <c r="D28" s="10"/>
      <c r="E28" s="10"/>
      <c r="F28" s="10"/>
      <c r="G28" s="22">
        <f t="shared" si="0"/>
        <v>0</v>
      </c>
      <c r="I28" s="29"/>
      <c r="J28" s="257"/>
      <c r="K28" s="27"/>
      <c r="L28" s="10"/>
      <c r="M28" s="10"/>
      <c r="N28" s="10"/>
      <c r="O28" s="22">
        <f t="shared" si="1"/>
        <v>1578.08</v>
      </c>
    </row>
    <row r="29" spans="1:15" x14ac:dyDescent="0.2">
      <c r="A29" s="29"/>
      <c r="B29" s="257"/>
      <c r="C29" s="27"/>
      <c r="D29" s="10"/>
      <c r="E29" s="10"/>
      <c r="F29" s="10"/>
      <c r="G29" s="22">
        <f t="shared" si="0"/>
        <v>0</v>
      </c>
      <c r="I29" s="29"/>
      <c r="J29" s="257"/>
      <c r="K29" s="27"/>
      <c r="L29" s="10"/>
      <c r="M29" s="10"/>
      <c r="N29" s="10"/>
      <c r="O29" s="22">
        <f t="shared" si="1"/>
        <v>1578.08</v>
      </c>
    </row>
    <row r="30" spans="1:15" x14ac:dyDescent="0.2">
      <c r="A30" s="29"/>
      <c r="B30" s="257"/>
      <c r="C30" s="27"/>
      <c r="D30" s="10"/>
      <c r="E30" s="10"/>
      <c r="F30" s="10"/>
      <c r="G30" s="22">
        <f t="shared" si="0"/>
        <v>0</v>
      </c>
      <c r="I30" s="29"/>
      <c r="J30" s="257"/>
      <c r="K30" s="27"/>
      <c r="L30" s="10"/>
      <c r="M30" s="10"/>
      <c r="N30" s="10"/>
      <c r="O30" s="22">
        <f t="shared" si="1"/>
        <v>1578.08</v>
      </c>
    </row>
    <row r="31" spans="1:15" ht="13.5" thickBot="1" x14ac:dyDescent="0.25">
      <c r="A31" s="34"/>
      <c r="B31" s="258"/>
      <c r="C31" s="32"/>
      <c r="D31" s="33"/>
      <c r="E31" s="33"/>
      <c r="F31" s="33"/>
      <c r="G31" s="31">
        <f>SUM(G30+D31-E31-F31)</f>
        <v>0</v>
      </c>
      <c r="I31" s="34"/>
      <c r="J31" s="258"/>
      <c r="K31" s="32"/>
      <c r="L31" s="33"/>
      <c r="M31" s="33"/>
      <c r="N31" s="33"/>
      <c r="O31" s="31">
        <f>SUM(O30+L31-M31-N31)</f>
        <v>1578.08</v>
      </c>
    </row>
    <row r="32" spans="1:15" ht="13.5" thickTop="1" x14ac:dyDescent="0.2">
      <c r="A32" s="3"/>
      <c r="B32" s="256"/>
      <c r="C32" s="4"/>
      <c r="D32" s="5"/>
      <c r="E32" s="5"/>
      <c r="F32" s="5"/>
      <c r="G32" s="18"/>
      <c r="I32" s="3"/>
      <c r="J32" s="256"/>
      <c r="K32" s="4"/>
      <c r="L32" s="5"/>
      <c r="M32" s="5"/>
      <c r="N32" s="5"/>
      <c r="O32" s="18"/>
    </row>
    <row r="33" spans="1:15" ht="13.5" thickBot="1" x14ac:dyDescent="0.25">
      <c r="A33" s="8" t="s">
        <v>3</v>
      </c>
      <c r="B33" s="259"/>
      <c r="C33" s="6"/>
      <c r="D33" s="13"/>
      <c r="E33" s="7"/>
      <c r="F33" s="7"/>
      <c r="G33" s="212">
        <f>G31</f>
        <v>0</v>
      </c>
      <c r="I33" s="8" t="s">
        <v>3</v>
      </c>
      <c r="J33" s="259"/>
      <c r="K33" s="6"/>
      <c r="L33" s="13"/>
      <c r="M33" s="7"/>
      <c r="N33" s="7"/>
      <c r="O33" s="212">
        <f>O31</f>
        <v>1578.08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5" type="noConversion"/>
  <hyperlinks>
    <hyperlink ref="H1" location="Overall!A1" display="HOME" xr:uid="{00000000-0004-0000-2800-000000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73"/>
  <dimension ref="A1:O29"/>
  <sheetViews>
    <sheetView zoomScaleNormal="100" workbookViewId="0">
      <selection activeCell="H1" sqref="H1"/>
    </sheetView>
  </sheetViews>
  <sheetFormatPr defaultRowHeight="12.75" x14ac:dyDescent="0.2"/>
  <cols>
    <col min="1" max="1" width="11.5703125" style="49" bestFit="1" customWidth="1"/>
    <col min="2" max="2" width="10.7109375" style="49" bestFit="1" customWidth="1"/>
    <col min="3" max="3" width="22" style="49" customWidth="1"/>
    <col min="4" max="4" width="10.42578125" style="49" bestFit="1" customWidth="1"/>
    <col min="5" max="5" width="12.5703125" style="49" customWidth="1"/>
    <col min="6" max="6" width="10.42578125" style="49" bestFit="1" customWidth="1"/>
    <col min="7" max="7" width="11.7109375" style="49" customWidth="1"/>
    <col min="8" max="8" width="9.140625" style="49"/>
    <col min="9" max="9" width="11.5703125" style="49" bestFit="1" customWidth="1"/>
    <col min="10" max="10" width="10.7109375" style="49" bestFit="1" customWidth="1"/>
    <col min="11" max="11" width="22" style="49" customWidth="1"/>
    <col min="12" max="12" width="10.42578125" style="49" bestFit="1" customWidth="1"/>
    <col min="13" max="13" width="12.5703125" style="49" customWidth="1"/>
    <col min="14" max="14" width="10.42578125" style="49" bestFit="1" customWidth="1"/>
    <col min="15" max="15" width="11.7109375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ht="17.25" customHeight="1" x14ac:dyDescent="0.5">
      <c r="A3" s="359"/>
      <c r="B3" s="372"/>
      <c r="C3" s="372"/>
      <c r="D3" s="372"/>
      <c r="E3" s="372"/>
      <c r="F3" s="372"/>
      <c r="G3" s="373"/>
      <c r="H3" s="96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26</v>
      </c>
      <c r="B4" s="363"/>
      <c r="C4" s="363"/>
      <c r="D4" s="363"/>
      <c r="E4" s="363"/>
      <c r="F4" s="363"/>
      <c r="G4" s="364"/>
      <c r="H4" s="97"/>
      <c r="I4" s="362" t="s">
        <v>26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4.75" customHeight="1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4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4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479.66</v>
      </c>
      <c r="I8" s="23"/>
      <c r="J8" s="25"/>
      <c r="K8" s="233" t="s">
        <v>75</v>
      </c>
      <c r="L8" s="79"/>
      <c r="M8" s="79"/>
      <c r="N8" s="80"/>
      <c r="O8" s="249">
        <f>L8</f>
        <v>0</v>
      </c>
    </row>
    <row r="9" spans="1:15" x14ac:dyDescent="0.2">
      <c r="A9" s="23">
        <v>43064</v>
      </c>
      <c r="B9" s="25"/>
      <c r="C9" s="9" t="s">
        <v>182</v>
      </c>
      <c r="D9" s="79"/>
      <c r="E9" s="79"/>
      <c r="F9" s="80">
        <f>85+47.5</f>
        <v>132.5</v>
      </c>
      <c r="G9" s="81">
        <f>SUM(G8+D9-E9-F9)</f>
        <v>347.16</v>
      </c>
      <c r="H9" s="49" t="s">
        <v>114</v>
      </c>
      <c r="I9" s="14"/>
      <c r="J9" s="63"/>
      <c r="K9" s="63"/>
      <c r="L9" s="74"/>
      <c r="M9" s="74"/>
      <c r="N9" s="75"/>
      <c r="O9" s="81">
        <f>SUM(O8+L9-M9-N9)</f>
        <v>0</v>
      </c>
    </row>
    <row r="10" spans="1:15" x14ac:dyDescent="0.2">
      <c r="A10" s="14"/>
      <c r="B10" s="63"/>
      <c r="C10" s="63"/>
      <c r="D10" s="74"/>
      <c r="E10" s="74"/>
      <c r="F10" s="75"/>
      <c r="G10" s="81">
        <f t="shared" ref="G10:G27" si="0">SUM(G9+D10-E10-F10)</f>
        <v>347.16</v>
      </c>
      <c r="I10" s="14"/>
      <c r="J10" s="63"/>
      <c r="K10" s="63"/>
      <c r="L10" s="74"/>
      <c r="M10" s="74"/>
      <c r="N10" s="75"/>
      <c r="O10" s="81">
        <f t="shared" ref="O10:O27" si="1">SUM(O9+L10-M10-N10)</f>
        <v>0</v>
      </c>
    </row>
    <row r="11" spans="1:15" x14ac:dyDescent="0.2">
      <c r="A11" s="14"/>
      <c r="B11" s="63"/>
      <c r="C11" s="63"/>
      <c r="D11" s="74"/>
      <c r="E11" s="74"/>
      <c r="F11" s="75"/>
      <c r="G11" s="81">
        <f t="shared" si="0"/>
        <v>347.16</v>
      </c>
      <c r="I11" s="14"/>
      <c r="J11" s="63"/>
      <c r="K11" s="63"/>
      <c r="L11" s="74"/>
      <c r="M11" s="74"/>
      <c r="N11" s="75"/>
      <c r="O11" s="81">
        <f t="shared" si="1"/>
        <v>0</v>
      </c>
    </row>
    <row r="12" spans="1:15" x14ac:dyDescent="0.2">
      <c r="A12" s="14"/>
      <c r="B12" s="63"/>
      <c r="C12" s="63"/>
      <c r="D12" s="74"/>
      <c r="E12" s="74"/>
      <c r="F12" s="75"/>
      <c r="G12" s="81">
        <f t="shared" si="0"/>
        <v>347.16</v>
      </c>
      <c r="I12" s="14"/>
      <c r="J12" s="63"/>
      <c r="K12" s="63"/>
      <c r="L12" s="74"/>
      <c r="M12" s="74"/>
      <c r="N12" s="75"/>
      <c r="O12" s="81">
        <f t="shared" si="1"/>
        <v>0</v>
      </c>
    </row>
    <row r="13" spans="1:15" x14ac:dyDescent="0.2">
      <c r="A13" s="14"/>
      <c r="B13" s="63"/>
      <c r="C13" s="63"/>
      <c r="D13" s="74"/>
      <c r="E13" s="74"/>
      <c r="F13" s="75"/>
      <c r="G13" s="81">
        <f t="shared" si="0"/>
        <v>347.16</v>
      </c>
      <c r="I13" s="14"/>
      <c r="J13" s="63"/>
      <c r="K13" s="63"/>
      <c r="L13" s="74"/>
      <c r="M13" s="74"/>
      <c r="N13" s="75"/>
      <c r="O13" s="81">
        <f t="shared" si="1"/>
        <v>0</v>
      </c>
    </row>
    <row r="14" spans="1:15" x14ac:dyDescent="0.2">
      <c r="A14" s="14"/>
      <c r="B14" s="63"/>
      <c r="C14" s="63"/>
      <c r="D14" s="74"/>
      <c r="E14" s="74"/>
      <c r="F14" s="75"/>
      <c r="G14" s="81">
        <f t="shared" si="0"/>
        <v>347.16</v>
      </c>
      <c r="I14" s="14"/>
      <c r="J14" s="63"/>
      <c r="K14" s="63"/>
      <c r="L14" s="74"/>
      <c r="M14" s="74"/>
      <c r="N14" s="75"/>
      <c r="O14" s="81">
        <f t="shared" si="1"/>
        <v>0</v>
      </c>
    </row>
    <row r="15" spans="1:15" x14ac:dyDescent="0.2">
      <c r="A15" s="14"/>
      <c r="B15" s="9"/>
      <c r="C15" s="9"/>
      <c r="D15" s="74"/>
      <c r="E15" s="74"/>
      <c r="F15" s="75"/>
      <c r="G15" s="81">
        <f t="shared" si="0"/>
        <v>347.16</v>
      </c>
      <c r="I15" s="14"/>
      <c r="J15" s="9"/>
      <c r="K15" s="9"/>
      <c r="L15" s="74"/>
      <c r="M15" s="74"/>
      <c r="N15" s="75"/>
      <c r="O15" s="81">
        <f t="shared" si="1"/>
        <v>0</v>
      </c>
    </row>
    <row r="16" spans="1:15" x14ac:dyDescent="0.2">
      <c r="A16" s="14"/>
      <c r="B16" s="9"/>
      <c r="C16" s="9"/>
      <c r="D16" s="74"/>
      <c r="E16" s="74"/>
      <c r="F16" s="75"/>
      <c r="G16" s="81">
        <f t="shared" si="0"/>
        <v>347.16</v>
      </c>
      <c r="I16" s="14"/>
      <c r="J16" s="9"/>
      <c r="K16" s="9"/>
      <c r="L16" s="74"/>
      <c r="M16" s="74"/>
      <c r="N16" s="75"/>
      <c r="O16" s="81">
        <f t="shared" si="1"/>
        <v>0</v>
      </c>
    </row>
    <row r="17" spans="1:15" x14ac:dyDescent="0.2">
      <c r="A17" s="16"/>
      <c r="B17" s="9"/>
      <c r="C17" s="9"/>
      <c r="D17" s="74"/>
      <c r="E17" s="74"/>
      <c r="F17" s="74"/>
      <c r="G17" s="81">
        <f t="shared" si="0"/>
        <v>347.16</v>
      </c>
      <c r="I17" s="16"/>
      <c r="J17" s="9"/>
      <c r="K17" s="9"/>
      <c r="L17" s="74"/>
      <c r="M17" s="74"/>
      <c r="N17" s="74"/>
      <c r="O17" s="81">
        <f t="shared" si="1"/>
        <v>0</v>
      </c>
    </row>
    <row r="18" spans="1:15" x14ac:dyDescent="0.2">
      <c r="A18" s="16"/>
      <c r="B18" s="9"/>
      <c r="C18" s="9"/>
      <c r="D18" s="74"/>
      <c r="E18" s="74"/>
      <c r="F18" s="74"/>
      <c r="G18" s="81">
        <f t="shared" si="0"/>
        <v>347.16</v>
      </c>
      <c r="I18" s="16"/>
      <c r="J18" s="9"/>
      <c r="K18" s="9"/>
      <c r="L18" s="74"/>
      <c r="M18" s="74"/>
      <c r="N18" s="74"/>
      <c r="O18" s="81">
        <f t="shared" si="1"/>
        <v>0</v>
      </c>
    </row>
    <row r="19" spans="1:15" x14ac:dyDescent="0.2">
      <c r="A19" s="16"/>
      <c r="B19" s="9"/>
      <c r="C19" s="9"/>
      <c r="D19" s="74"/>
      <c r="E19" s="74"/>
      <c r="F19" s="74"/>
      <c r="G19" s="81">
        <f t="shared" si="0"/>
        <v>347.16</v>
      </c>
      <c r="I19" s="16"/>
      <c r="J19" s="9"/>
      <c r="K19" s="9"/>
      <c r="L19" s="74"/>
      <c r="M19" s="74"/>
      <c r="N19" s="74"/>
      <c r="O19" s="81">
        <f t="shared" si="1"/>
        <v>0</v>
      </c>
    </row>
    <row r="20" spans="1:15" x14ac:dyDescent="0.2">
      <c r="A20" s="16"/>
      <c r="B20" s="9"/>
      <c r="C20" s="9"/>
      <c r="D20" s="74"/>
      <c r="E20" s="74"/>
      <c r="F20" s="74"/>
      <c r="G20" s="81">
        <f t="shared" si="0"/>
        <v>347.16</v>
      </c>
      <c r="I20" s="16"/>
      <c r="J20" s="9"/>
      <c r="K20" s="9"/>
      <c r="L20" s="74"/>
      <c r="M20" s="74"/>
      <c r="N20" s="74"/>
      <c r="O20" s="81">
        <f t="shared" si="1"/>
        <v>0</v>
      </c>
    </row>
    <row r="21" spans="1:15" x14ac:dyDescent="0.2">
      <c r="A21" s="16"/>
      <c r="B21" s="9"/>
      <c r="C21" s="9"/>
      <c r="D21" s="74"/>
      <c r="E21" s="74"/>
      <c r="F21" s="74"/>
      <c r="G21" s="81">
        <f t="shared" si="0"/>
        <v>347.16</v>
      </c>
      <c r="I21" s="16"/>
      <c r="J21" s="9"/>
      <c r="K21" s="9"/>
      <c r="L21" s="74"/>
      <c r="M21" s="74"/>
      <c r="N21" s="74"/>
      <c r="O21" s="81">
        <f t="shared" si="1"/>
        <v>0</v>
      </c>
    </row>
    <row r="22" spans="1:15" x14ac:dyDescent="0.2">
      <c r="A22" s="16"/>
      <c r="B22" s="9"/>
      <c r="C22" s="9"/>
      <c r="D22" s="74"/>
      <c r="E22" s="74"/>
      <c r="F22" s="74"/>
      <c r="G22" s="81">
        <f t="shared" si="0"/>
        <v>347.16</v>
      </c>
      <c r="I22" s="16"/>
      <c r="J22" s="9"/>
      <c r="K22" s="9"/>
      <c r="L22" s="74"/>
      <c r="M22" s="74"/>
      <c r="N22" s="74"/>
      <c r="O22" s="81">
        <f t="shared" si="1"/>
        <v>0</v>
      </c>
    </row>
    <row r="23" spans="1:15" x14ac:dyDescent="0.2">
      <c r="A23" s="16"/>
      <c r="B23" s="9"/>
      <c r="C23" s="9"/>
      <c r="D23" s="74"/>
      <c r="E23" s="74"/>
      <c r="F23" s="74"/>
      <c r="G23" s="81">
        <f t="shared" si="0"/>
        <v>347.16</v>
      </c>
      <c r="I23" s="16"/>
      <c r="J23" s="9"/>
      <c r="K23" s="9"/>
      <c r="L23" s="74"/>
      <c r="M23" s="74"/>
      <c r="N23" s="74"/>
      <c r="O23" s="81">
        <f t="shared" si="1"/>
        <v>0</v>
      </c>
    </row>
    <row r="24" spans="1:15" x14ac:dyDescent="0.2">
      <c r="A24" s="16"/>
      <c r="B24" s="9"/>
      <c r="C24" s="9"/>
      <c r="D24" s="74"/>
      <c r="E24" s="74"/>
      <c r="F24" s="74"/>
      <c r="G24" s="81">
        <f t="shared" si="0"/>
        <v>347.16</v>
      </c>
      <c r="I24" s="16"/>
      <c r="J24" s="9"/>
      <c r="K24" s="9"/>
      <c r="L24" s="74"/>
      <c r="M24" s="74"/>
      <c r="N24" s="74"/>
      <c r="O24" s="81">
        <f t="shared" si="1"/>
        <v>0</v>
      </c>
    </row>
    <row r="25" spans="1:15" x14ac:dyDescent="0.2">
      <c r="A25" s="16"/>
      <c r="B25" s="9"/>
      <c r="C25" s="9"/>
      <c r="D25" s="74"/>
      <c r="E25" s="74"/>
      <c r="F25" s="74"/>
      <c r="G25" s="81">
        <f t="shared" si="0"/>
        <v>347.16</v>
      </c>
      <c r="I25" s="16"/>
      <c r="J25" s="9"/>
      <c r="K25" s="9"/>
      <c r="L25" s="74"/>
      <c r="M25" s="74"/>
      <c r="N25" s="74"/>
      <c r="O25" s="81">
        <f t="shared" si="1"/>
        <v>0</v>
      </c>
    </row>
    <row r="26" spans="1:15" x14ac:dyDescent="0.2">
      <c r="A26" s="16"/>
      <c r="B26" s="9"/>
      <c r="C26" s="9"/>
      <c r="D26" s="74"/>
      <c r="E26" s="74"/>
      <c r="F26" s="74"/>
      <c r="G26" s="81">
        <f t="shared" si="0"/>
        <v>347.16</v>
      </c>
      <c r="I26" s="16"/>
      <c r="J26" s="9"/>
      <c r="K26" s="9"/>
      <c r="L26" s="74"/>
      <c r="M26" s="74"/>
      <c r="N26" s="74"/>
      <c r="O26" s="81">
        <f t="shared" si="1"/>
        <v>0</v>
      </c>
    </row>
    <row r="27" spans="1:15" ht="13.5" thickBot="1" x14ac:dyDescent="0.25">
      <c r="A27" s="36"/>
      <c r="B27" s="37"/>
      <c r="C27" s="37"/>
      <c r="D27" s="82"/>
      <c r="E27" s="82"/>
      <c r="F27" s="82"/>
      <c r="G27" s="81">
        <f t="shared" si="0"/>
        <v>347.16</v>
      </c>
      <c r="I27" s="36"/>
      <c r="J27" s="37"/>
      <c r="K27" s="37"/>
      <c r="L27" s="82"/>
      <c r="M27" s="82"/>
      <c r="N27" s="82"/>
      <c r="O27" s="81">
        <f t="shared" si="1"/>
        <v>0</v>
      </c>
    </row>
    <row r="28" spans="1:15" ht="13.5" thickTop="1" x14ac:dyDescent="0.2">
      <c r="A28" s="40"/>
      <c r="B28" s="41"/>
      <c r="C28" s="41"/>
      <c r="D28" s="77"/>
      <c r="E28" s="77"/>
      <c r="F28" s="77"/>
      <c r="G28" s="78"/>
      <c r="I28" s="40"/>
      <c r="J28" s="41"/>
      <c r="K28" s="41"/>
      <c r="L28" s="77"/>
      <c r="M28" s="77"/>
      <c r="N28" s="77"/>
      <c r="O28" s="78"/>
    </row>
    <row r="29" spans="1:15" ht="13.5" thickBot="1" x14ac:dyDescent="0.25">
      <c r="A29" s="42" t="s">
        <v>3</v>
      </c>
      <c r="B29" s="43"/>
      <c r="C29" s="43"/>
      <c r="D29" s="76"/>
      <c r="E29" s="84"/>
      <c r="F29" s="84"/>
      <c r="G29" s="211">
        <f>G27</f>
        <v>347.16</v>
      </c>
      <c r="I29" s="42" t="s">
        <v>3</v>
      </c>
      <c r="J29" s="43"/>
      <c r="K29" s="43"/>
      <c r="L29" s="76"/>
      <c r="M29" s="84"/>
      <c r="N29" s="84"/>
      <c r="O29" s="211">
        <f>O27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2900-000000000000}"/>
  </hyperlinks>
  <pageMargins left="0.75" right="0.75" top="1" bottom="1" header="0.5" footer="0.5"/>
  <pageSetup scale="97" orientation="portrait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87"/>
  <dimension ref="A1:O33"/>
  <sheetViews>
    <sheetView zoomScaleNormal="100" workbookViewId="0">
      <selection activeCell="H1" sqref="H1"/>
    </sheetView>
  </sheetViews>
  <sheetFormatPr defaultRowHeight="12.75" x14ac:dyDescent="0.2"/>
  <cols>
    <col min="1" max="1" width="10.85546875" style="49" customWidth="1"/>
    <col min="2" max="2" width="9.28515625" style="49" bestFit="1" customWidth="1"/>
    <col min="3" max="3" width="25.140625" style="49" customWidth="1"/>
    <col min="4" max="4" width="14.7109375" style="49" bestFit="1" customWidth="1"/>
    <col min="5" max="5" width="5.28515625" style="49" customWidth="1"/>
    <col min="6" max="6" width="9.42578125" style="49" customWidth="1"/>
    <col min="7" max="7" width="16.140625" style="49" customWidth="1"/>
    <col min="8" max="8" width="9.140625" style="49"/>
    <col min="9" max="9" width="10.85546875" style="49" customWidth="1"/>
    <col min="10" max="10" width="9.28515625" style="49" bestFit="1" customWidth="1"/>
    <col min="11" max="11" width="25.140625" style="49" customWidth="1"/>
    <col min="12" max="12" width="14.7109375" style="49" bestFit="1" customWidth="1"/>
    <col min="13" max="13" width="5.28515625" style="49" customWidth="1"/>
    <col min="14" max="14" width="9.42578125" style="49" customWidth="1"/>
    <col min="15" max="15" width="16.140625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61</v>
      </c>
      <c r="B4" s="363"/>
      <c r="C4" s="363"/>
      <c r="D4" s="363"/>
      <c r="E4" s="363"/>
      <c r="F4" s="363"/>
      <c r="G4" s="364"/>
      <c r="I4" s="362" t="s">
        <v>61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7" customHeight="1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8</v>
      </c>
      <c r="N7" s="228" t="s">
        <v>5</v>
      </c>
      <c r="O7" s="229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I8" s="294"/>
      <c r="J8" s="232"/>
      <c r="K8" s="232" t="s">
        <v>74</v>
      </c>
      <c r="L8" s="295"/>
      <c r="M8" s="295"/>
      <c r="N8" s="295"/>
      <c r="O8" s="296">
        <f>L8</f>
        <v>0</v>
      </c>
    </row>
    <row r="9" spans="1:15" x14ac:dyDescent="0.2">
      <c r="A9" s="14"/>
      <c r="B9" s="9"/>
      <c r="C9" s="9"/>
      <c r="D9" s="74"/>
      <c r="E9" s="74"/>
      <c r="F9" s="75"/>
      <c r="G9" s="81">
        <f>SUM(G8+D9-E9-F9)</f>
        <v>0</v>
      </c>
      <c r="I9" s="14"/>
      <c r="J9" s="9"/>
      <c r="K9" s="9"/>
      <c r="L9" s="74"/>
      <c r="M9" s="74"/>
      <c r="N9" s="75"/>
      <c r="O9" s="81">
        <f>SUM(O8+L9-M9-N9)</f>
        <v>0</v>
      </c>
    </row>
    <row r="10" spans="1:15" x14ac:dyDescent="0.2">
      <c r="A10" s="14"/>
      <c r="B10" s="9"/>
      <c r="C10" s="9"/>
      <c r="D10" s="74"/>
      <c r="E10" s="74"/>
      <c r="F10" s="75"/>
      <c r="G10" s="81">
        <f t="shared" ref="G10:G12" si="0">SUM(G9+D10-E10-F10)</f>
        <v>0</v>
      </c>
      <c r="I10" s="14"/>
      <c r="J10" s="9"/>
      <c r="K10" s="9"/>
      <c r="L10" s="74"/>
      <c r="M10" s="74"/>
      <c r="N10" s="75"/>
      <c r="O10" s="81">
        <f t="shared" ref="O10:O30" si="1">SUM(O9+L10-M10-N10)</f>
        <v>0</v>
      </c>
    </row>
    <row r="11" spans="1:15" x14ac:dyDescent="0.2">
      <c r="A11" s="16"/>
      <c r="B11" s="9"/>
      <c r="C11" s="9"/>
      <c r="D11" s="74"/>
      <c r="E11" s="74"/>
      <c r="F11" s="75"/>
      <c r="G11" s="81">
        <f t="shared" si="0"/>
        <v>0</v>
      </c>
      <c r="I11" s="16"/>
      <c r="J11" s="9"/>
      <c r="K11" s="9"/>
      <c r="L11" s="74"/>
      <c r="M11" s="74"/>
      <c r="N11" s="75"/>
      <c r="O11" s="81">
        <f t="shared" si="1"/>
        <v>0</v>
      </c>
    </row>
    <row r="12" spans="1:15" x14ac:dyDescent="0.2">
      <c r="A12" s="16"/>
      <c r="B12" s="9"/>
      <c r="C12" s="9"/>
      <c r="D12" s="74"/>
      <c r="E12" s="74"/>
      <c r="F12" s="75"/>
      <c r="G12" s="81">
        <f t="shared" si="0"/>
        <v>0</v>
      </c>
      <c r="I12" s="16"/>
      <c r="J12" s="9"/>
      <c r="K12" s="9"/>
      <c r="L12" s="74"/>
      <c r="M12" s="74"/>
      <c r="N12" s="75"/>
      <c r="O12" s="81">
        <f t="shared" si="1"/>
        <v>0</v>
      </c>
    </row>
    <row r="13" spans="1:15" x14ac:dyDescent="0.2">
      <c r="A13" s="16"/>
      <c r="B13" s="9"/>
      <c r="C13" s="9"/>
      <c r="D13" s="74"/>
      <c r="E13" s="74"/>
      <c r="F13" s="74"/>
      <c r="G13" s="81">
        <f t="shared" ref="G13:G30" si="2">SUM(G12+D13-E13-F13)</f>
        <v>0</v>
      </c>
      <c r="I13" s="16"/>
      <c r="J13" s="9"/>
      <c r="K13" s="9"/>
      <c r="L13" s="74"/>
      <c r="M13" s="74"/>
      <c r="N13" s="74"/>
      <c r="O13" s="81">
        <f t="shared" si="1"/>
        <v>0</v>
      </c>
    </row>
    <row r="14" spans="1:15" x14ac:dyDescent="0.2">
      <c r="A14" s="9"/>
      <c r="B14" s="9"/>
      <c r="C14" s="9"/>
      <c r="D14" s="74"/>
      <c r="E14" s="74"/>
      <c r="F14" s="74"/>
      <c r="G14" s="81">
        <f t="shared" si="2"/>
        <v>0</v>
      </c>
      <c r="I14" s="9"/>
      <c r="J14" s="9"/>
      <c r="K14" s="9"/>
      <c r="L14" s="74"/>
      <c r="M14" s="74"/>
      <c r="N14" s="74"/>
      <c r="O14" s="81">
        <f t="shared" si="1"/>
        <v>0</v>
      </c>
    </row>
    <row r="15" spans="1:15" x14ac:dyDescent="0.2">
      <c r="A15" s="9"/>
      <c r="B15" s="9"/>
      <c r="C15" s="9"/>
      <c r="D15" s="74"/>
      <c r="E15" s="74"/>
      <c r="F15" s="74"/>
      <c r="G15" s="81">
        <f t="shared" si="2"/>
        <v>0</v>
      </c>
      <c r="I15" s="9"/>
      <c r="J15" s="9"/>
      <c r="K15" s="9"/>
      <c r="L15" s="74"/>
      <c r="M15" s="74"/>
      <c r="N15" s="74"/>
      <c r="O15" s="81">
        <f t="shared" si="1"/>
        <v>0</v>
      </c>
    </row>
    <row r="16" spans="1:15" x14ac:dyDescent="0.2">
      <c r="A16" s="9"/>
      <c r="B16" s="9"/>
      <c r="C16" s="9"/>
      <c r="D16" s="74"/>
      <c r="E16" s="74"/>
      <c r="F16" s="74"/>
      <c r="G16" s="81">
        <f t="shared" si="2"/>
        <v>0</v>
      </c>
      <c r="I16" s="9"/>
      <c r="J16" s="9"/>
      <c r="K16" s="9"/>
      <c r="L16" s="74"/>
      <c r="M16" s="74"/>
      <c r="N16" s="74"/>
      <c r="O16" s="81">
        <f t="shared" si="1"/>
        <v>0</v>
      </c>
    </row>
    <row r="17" spans="1:15" x14ac:dyDescent="0.2">
      <c r="A17" s="9"/>
      <c r="B17" s="9"/>
      <c r="C17" s="9"/>
      <c r="D17" s="74"/>
      <c r="E17" s="74"/>
      <c r="F17" s="74"/>
      <c r="G17" s="81">
        <f t="shared" si="2"/>
        <v>0</v>
      </c>
      <c r="I17" s="9"/>
      <c r="J17" s="9"/>
      <c r="K17" s="9"/>
      <c r="L17" s="74"/>
      <c r="M17" s="74"/>
      <c r="N17" s="74"/>
      <c r="O17" s="81">
        <f t="shared" si="1"/>
        <v>0</v>
      </c>
    </row>
    <row r="18" spans="1:15" x14ac:dyDescent="0.2">
      <c r="A18" s="9"/>
      <c r="B18" s="9"/>
      <c r="C18" s="9"/>
      <c r="D18" s="74"/>
      <c r="E18" s="74"/>
      <c r="F18" s="74"/>
      <c r="G18" s="81">
        <f t="shared" si="2"/>
        <v>0</v>
      </c>
      <c r="I18" s="9"/>
      <c r="J18" s="9"/>
      <c r="K18" s="9"/>
      <c r="L18" s="74"/>
      <c r="M18" s="74"/>
      <c r="N18" s="74"/>
      <c r="O18" s="81">
        <f t="shared" si="1"/>
        <v>0</v>
      </c>
    </row>
    <row r="19" spans="1:15" x14ac:dyDescent="0.2">
      <c r="A19" s="9"/>
      <c r="B19" s="9"/>
      <c r="C19" s="9"/>
      <c r="D19" s="74"/>
      <c r="E19" s="74"/>
      <c r="F19" s="74"/>
      <c r="G19" s="81">
        <f t="shared" si="2"/>
        <v>0</v>
      </c>
      <c r="I19" s="9"/>
      <c r="J19" s="9"/>
      <c r="K19" s="9"/>
      <c r="L19" s="74"/>
      <c r="M19" s="74"/>
      <c r="N19" s="74"/>
      <c r="O19" s="81">
        <f t="shared" si="1"/>
        <v>0</v>
      </c>
    </row>
    <row r="20" spans="1:15" x14ac:dyDescent="0.2">
      <c r="A20" s="9"/>
      <c r="B20" s="9"/>
      <c r="C20" s="9"/>
      <c r="D20" s="74"/>
      <c r="E20" s="74"/>
      <c r="F20" s="74"/>
      <c r="G20" s="81">
        <f t="shared" si="2"/>
        <v>0</v>
      </c>
      <c r="I20" s="9"/>
      <c r="J20" s="9"/>
      <c r="K20" s="9"/>
      <c r="L20" s="74"/>
      <c r="M20" s="74"/>
      <c r="N20" s="74"/>
      <c r="O20" s="81">
        <f t="shared" si="1"/>
        <v>0</v>
      </c>
    </row>
    <row r="21" spans="1:15" x14ac:dyDescent="0.2">
      <c r="A21" s="9"/>
      <c r="B21" s="9"/>
      <c r="C21" s="9"/>
      <c r="D21" s="74"/>
      <c r="E21" s="74"/>
      <c r="F21" s="74"/>
      <c r="G21" s="81">
        <f t="shared" si="2"/>
        <v>0</v>
      </c>
      <c r="I21" s="9"/>
      <c r="J21" s="9"/>
      <c r="K21" s="9"/>
      <c r="L21" s="74"/>
      <c r="M21" s="74"/>
      <c r="N21" s="74"/>
      <c r="O21" s="81">
        <f t="shared" si="1"/>
        <v>0</v>
      </c>
    </row>
    <row r="22" spans="1:15" x14ac:dyDescent="0.2">
      <c r="A22" s="9"/>
      <c r="B22" s="9"/>
      <c r="C22" s="9"/>
      <c r="D22" s="74"/>
      <c r="E22" s="74"/>
      <c r="F22" s="74"/>
      <c r="G22" s="81">
        <f t="shared" si="2"/>
        <v>0</v>
      </c>
      <c r="I22" s="9"/>
      <c r="J22" s="9"/>
      <c r="K22" s="9"/>
      <c r="L22" s="74"/>
      <c r="M22" s="74"/>
      <c r="N22" s="74"/>
      <c r="O22" s="81">
        <f t="shared" si="1"/>
        <v>0</v>
      </c>
    </row>
    <row r="23" spans="1:15" x14ac:dyDescent="0.2">
      <c r="A23" s="9"/>
      <c r="B23" s="9"/>
      <c r="C23" s="9"/>
      <c r="D23" s="74"/>
      <c r="E23" s="74"/>
      <c r="F23" s="74"/>
      <c r="G23" s="81">
        <f t="shared" si="2"/>
        <v>0</v>
      </c>
      <c r="I23" s="9"/>
      <c r="J23" s="9"/>
      <c r="K23" s="9"/>
      <c r="L23" s="74"/>
      <c r="M23" s="74"/>
      <c r="N23" s="74"/>
      <c r="O23" s="81">
        <f t="shared" si="1"/>
        <v>0</v>
      </c>
    </row>
    <row r="24" spans="1:15" x14ac:dyDescent="0.2">
      <c r="A24" s="9"/>
      <c r="B24" s="9"/>
      <c r="C24" s="9"/>
      <c r="D24" s="74"/>
      <c r="E24" s="74"/>
      <c r="F24" s="74"/>
      <c r="G24" s="81">
        <f t="shared" si="2"/>
        <v>0</v>
      </c>
      <c r="I24" s="9"/>
      <c r="J24" s="9"/>
      <c r="K24" s="9"/>
      <c r="L24" s="74"/>
      <c r="M24" s="74"/>
      <c r="N24" s="74"/>
      <c r="O24" s="81">
        <f t="shared" si="1"/>
        <v>0</v>
      </c>
    </row>
    <row r="25" spans="1:15" x14ac:dyDescent="0.2">
      <c r="A25" s="9"/>
      <c r="B25" s="9"/>
      <c r="C25" s="9"/>
      <c r="D25" s="74"/>
      <c r="E25" s="74"/>
      <c r="F25" s="74"/>
      <c r="G25" s="81">
        <f t="shared" si="2"/>
        <v>0</v>
      </c>
      <c r="I25" s="9"/>
      <c r="J25" s="9"/>
      <c r="K25" s="9"/>
      <c r="L25" s="74"/>
      <c r="M25" s="74"/>
      <c r="N25" s="74"/>
      <c r="O25" s="81">
        <f t="shared" si="1"/>
        <v>0</v>
      </c>
    </row>
    <row r="26" spans="1:15" x14ac:dyDescent="0.2">
      <c r="A26" s="9"/>
      <c r="B26" s="9"/>
      <c r="C26" s="9"/>
      <c r="D26" s="74"/>
      <c r="E26" s="74"/>
      <c r="F26" s="74"/>
      <c r="G26" s="81">
        <f t="shared" si="2"/>
        <v>0</v>
      </c>
      <c r="I26" s="9"/>
      <c r="J26" s="9"/>
      <c r="K26" s="9"/>
      <c r="L26" s="74"/>
      <c r="M26" s="74"/>
      <c r="N26" s="74"/>
      <c r="O26" s="81">
        <f t="shared" si="1"/>
        <v>0</v>
      </c>
    </row>
    <row r="27" spans="1:15" x14ac:dyDescent="0.2">
      <c r="A27" s="9"/>
      <c r="B27" s="9"/>
      <c r="C27" s="9"/>
      <c r="D27" s="74"/>
      <c r="E27" s="74"/>
      <c r="F27" s="74"/>
      <c r="G27" s="81">
        <f t="shared" si="2"/>
        <v>0</v>
      </c>
      <c r="I27" s="9"/>
      <c r="J27" s="9"/>
      <c r="K27" s="9"/>
      <c r="L27" s="74"/>
      <c r="M27" s="74"/>
      <c r="N27" s="74"/>
      <c r="O27" s="81">
        <f t="shared" si="1"/>
        <v>0</v>
      </c>
    </row>
    <row r="28" spans="1:15" x14ac:dyDescent="0.2">
      <c r="A28" s="9"/>
      <c r="B28" s="9"/>
      <c r="C28" s="9"/>
      <c r="D28" s="74"/>
      <c r="E28" s="74"/>
      <c r="F28" s="74"/>
      <c r="G28" s="81">
        <f t="shared" si="2"/>
        <v>0</v>
      </c>
      <c r="I28" s="9"/>
      <c r="J28" s="9"/>
      <c r="K28" s="9"/>
      <c r="L28" s="74"/>
      <c r="M28" s="74"/>
      <c r="N28" s="74"/>
      <c r="O28" s="81">
        <f t="shared" si="1"/>
        <v>0</v>
      </c>
    </row>
    <row r="29" spans="1:15" x14ac:dyDescent="0.2">
      <c r="A29" s="9"/>
      <c r="B29" s="9"/>
      <c r="C29" s="9"/>
      <c r="D29" s="74"/>
      <c r="E29" s="74"/>
      <c r="F29" s="74"/>
      <c r="G29" s="81">
        <f t="shared" si="2"/>
        <v>0</v>
      </c>
      <c r="I29" s="9"/>
      <c r="J29" s="9"/>
      <c r="K29" s="9"/>
      <c r="L29" s="74"/>
      <c r="M29" s="74"/>
      <c r="N29" s="74"/>
      <c r="O29" s="81">
        <f t="shared" si="1"/>
        <v>0</v>
      </c>
    </row>
    <row r="30" spans="1:15" x14ac:dyDescent="0.2">
      <c r="A30" s="9"/>
      <c r="B30" s="9"/>
      <c r="C30" s="9"/>
      <c r="D30" s="74"/>
      <c r="E30" s="74"/>
      <c r="F30" s="74"/>
      <c r="G30" s="81">
        <f t="shared" si="2"/>
        <v>0</v>
      </c>
      <c r="I30" s="9"/>
      <c r="J30" s="9"/>
      <c r="K30" s="9"/>
      <c r="L30" s="74"/>
      <c r="M30" s="74"/>
      <c r="N30" s="74"/>
      <c r="O30" s="81">
        <f t="shared" si="1"/>
        <v>0</v>
      </c>
    </row>
    <row r="31" spans="1:15" ht="13.5" thickBot="1" x14ac:dyDescent="0.25">
      <c r="A31" s="37"/>
      <c r="B31" s="37"/>
      <c r="C31" s="37"/>
      <c r="D31" s="82"/>
      <c r="E31" s="82"/>
      <c r="F31" s="82"/>
      <c r="G31" s="83">
        <f>SUM(G30+D31-E31-F31)</f>
        <v>0</v>
      </c>
      <c r="I31" s="37"/>
      <c r="J31" s="37"/>
      <c r="K31" s="37"/>
      <c r="L31" s="82"/>
      <c r="M31" s="82"/>
      <c r="N31" s="82"/>
      <c r="O31" s="83">
        <f>SUM(O30+L31-M31-N31)</f>
        <v>0</v>
      </c>
    </row>
    <row r="32" spans="1:15" ht="13.5" thickTop="1" x14ac:dyDescent="0.2">
      <c r="A32" s="40"/>
      <c r="B32" s="41"/>
      <c r="C32" s="41"/>
      <c r="D32" s="77"/>
      <c r="E32" s="77"/>
      <c r="F32" s="77"/>
      <c r="G32" s="78"/>
      <c r="I32" s="40"/>
      <c r="J32" s="41"/>
      <c r="K32" s="41"/>
      <c r="L32" s="77"/>
      <c r="M32" s="77"/>
      <c r="N32" s="77"/>
      <c r="O32" s="78"/>
    </row>
    <row r="33" spans="1:15" ht="13.5" thickBot="1" x14ac:dyDescent="0.25">
      <c r="A33" s="42" t="s">
        <v>3</v>
      </c>
      <c r="B33" s="43"/>
      <c r="C33" s="43"/>
      <c r="D33" s="76"/>
      <c r="E33" s="84"/>
      <c r="F33" s="84"/>
      <c r="G33" s="211">
        <f>G31</f>
        <v>0</v>
      </c>
      <c r="I33" s="42" t="s">
        <v>3</v>
      </c>
      <c r="J33" s="43"/>
      <c r="K33" s="43"/>
      <c r="L33" s="76"/>
      <c r="M33" s="84"/>
      <c r="N33" s="84"/>
      <c r="O33" s="211">
        <f>O31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 xr:uid="{00000000-0004-0000-2A00-000000000000}"/>
  </hyperlinks>
  <pageMargins left="0.5" right="0.5" top="1" bottom="1" header="0.5" footer="0.5"/>
  <pageSetup scale="9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26"/>
  <sheetViews>
    <sheetView topLeftCell="D1" workbookViewId="0">
      <selection activeCell="H1" sqref="H1"/>
    </sheetView>
  </sheetViews>
  <sheetFormatPr defaultRowHeight="12.75" x14ac:dyDescent="0.2"/>
  <cols>
    <col min="3" max="3" width="29.140625" customWidth="1"/>
    <col min="11" max="11" width="21.85546875" customWidth="1"/>
    <col min="14" max="15" width="10.2851562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189</v>
      </c>
      <c r="B4" s="363"/>
      <c r="C4" s="363"/>
      <c r="D4" s="363"/>
      <c r="E4" s="363"/>
      <c r="F4" s="363"/>
      <c r="G4" s="364"/>
      <c r="I4" s="362" t="s">
        <v>189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183" t="s">
        <v>70</v>
      </c>
      <c r="D8" s="248"/>
      <c r="E8" s="248"/>
      <c r="F8" s="248"/>
      <c r="G8" s="249">
        <v>0</v>
      </c>
      <c r="I8" s="247"/>
      <c r="J8" s="238"/>
      <c r="K8" s="238" t="s">
        <v>74</v>
      </c>
      <c r="L8" s="248"/>
      <c r="M8" s="248"/>
      <c r="N8" s="248"/>
      <c r="O8" s="249">
        <v>3819.95</v>
      </c>
    </row>
    <row r="9" spans="1:15" ht="38.25" x14ac:dyDescent="0.2">
      <c r="A9" s="150"/>
      <c r="B9" s="232"/>
      <c r="C9" s="270"/>
      <c r="D9" s="151"/>
      <c r="E9" s="151"/>
      <c r="F9" s="152"/>
      <c r="G9" s="153">
        <f t="shared" ref="G9:G24" si="0">SUM(G8+D9-E9-F9)</f>
        <v>0</v>
      </c>
      <c r="I9" s="116">
        <v>43070</v>
      </c>
      <c r="J9" s="185" t="s">
        <v>105</v>
      </c>
      <c r="K9" s="271" t="s">
        <v>188</v>
      </c>
      <c r="L9" s="154"/>
      <c r="M9" s="154"/>
      <c r="N9" s="155">
        <v>300</v>
      </c>
      <c r="O9" s="153">
        <f t="shared" ref="O9:O24" si="1">SUM(O8+L9-M9-N9)</f>
        <v>3519.95</v>
      </c>
    </row>
    <row r="10" spans="1:15" x14ac:dyDescent="0.2">
      <c r="A10" s="150"/>
      <c r="B10" s="232"/>
      <c r="C10" s="270"/>
      <c r="D10" s="151"/>
      <c r="E10" s="151"/>
      <c r="F10" s="152"/>
      <c r="G10" s="153">
        <f t="shared" si="0"/>
        <v>0</v>
      </c>
      <c r="I10" s="150">
        <v>43124</v>
      </c>
      <c r="J10" s="232" t="s">
        <v>103</v>
      </c>
      <c r="K10" s="270" t="s">
        <v>222</v>
      </c>
      <c r="L10" s="151"/>
      <c r="M10" s="151"/>
      <c r="N10" s="152">
        <f>695.83+695.83-0.03+513.45+513.45</f>
        <v>2418.5300000000002</v>
      </c>
      <c r="O10" s="153">
        <f t="shared" si="1"/>
        <v>1101.4199999999996</v>
      </c>
    </row>
    <row r="11" spans="1:15" x14ac:dyDescent="0.2">
      <c r="A11" s="150"/>
      <c r="B11" s="232"/>
      <c r="C11" s="270"/>
      <c r="D11" s="151"/>
      <c r="E11" s="151"/>
      <c r="F11" s="152"/>
      <c r="G11" s="153">
        <f t="shared" si="0"/>
        <v>0</v>
      </c>
      <c r="I11" s="14">
        <v>43136</v>
      </c>
      <c r="J11" s="9" t="s">
        <v>235</v>
      </c>
      <c r="K11" s="9" t="s">
        <v>236</v>
      </c>
      <c r="L11" s="151"/>
      <c r="M11" s="151"/>
      <c r="N11" s="152">
        <v>42.75</v>
      </c>
      <c r="O11" s="153">
        <f t="shared" si="1"/>
        <v>1058.6699999999996</v>
      </c>
    </row>
    <row r="12" spans="1:15" x14ac:dyDescent="0.2">
      <c r="A12" s="116"/>
      <c r="B12" s="185"/>
      <c r="C12" s="271"/>
      <c r="D12" s="154"/>
      <c r="E12" s="154"/>
      <c r="F12" s="155"/>
      <c r="G12" s="153">
        <f t="shared" si="0"/>
        <v>0</v>
      </c>
      <c r="I12" s="69">
        <v>43213</v>
      </c>
      <c r="J12" s="9" t="s">
        <v>335</v>
      </c>
      <c r="K12" s="9" t="s">
        <v>336</v>
      </c>
      <c r="L12" s="154"/>
      <c r="M12" s="154"/>
      <c r="N12" s="154">
        <v>108.71</v>
      </c>
      <c r="O12" s="153">
        <f t="shared" si="1"/>
        <v>949.95999999999958</v>
      </c>
    </row>
    <row r="13" spans="1:15" x14ac:dyDescent="0.2">
      <c r="A13" s="116"/>
      <c r="B13" s="185"/>
      <c r="C13" s="271"/>
      <c r="D13" s="154"/>
      <c r="E13" s="154"/>
      <c r="F13" s="155"/>
      <c r="G13" s="153">
        <f t="shared" si="0"/>
        <v>0</v>
      </c>
      <c r="I13" s="116"/>
      <c r="J13" s="185"/>
      <c r="K13" s="271"/>
      <c r="L13" s="154"/>
      <c r="M13" s="154"/>
      <c r="N13" s="155"/>
      <c r="O13" s="153">
        <f t="shared" si="1"/>
        <v>949.95999999999958</v>
      </c>
    </row>
    <row r="14" spans="1:15" x14ac:dyDescent="0.2">
      <c r="A14" s="116"/>
      <c r="B14" s="117"/>
      <c r="C14" s="272"/>
      <c r="D14" s="154"/>
      <c r="E14" s="154"/>
      <c r="F14" s="155"/>
      <c r="G14" s="153">
        <f t="shared" si="0"/>
        <v>0</v>
      </c>
      <c r="I14" s="116"/>
      <c r="J14" s="117"/>
      <c r="K14" s="272"/>
      <c r="L14" s="154"/>
      <c r="M14" s="154"/>
      <c r="N14" s="155"/>
      <c r="O14" s="153">
        <f t="shared" si="1"/>
        <v>949.95999999999958</v>
      </c>
    </row>
    <row r="15" spans="1:15" x14ac:dyDescent="0.2">
      <c r="A15" s="116"/>
      <c r="B15" s="119"/>
      <c r="C15" s="271"/>
      <c r="D15" s="154"/>
      <c r="E15" s="154"/>
      <c r="F15" s="155"/>
      <c r="G15" s="153">
        <f t="shared" si="0"/>
        <v>0</v>
      </c>
      <c r="I15" s="116"/>
      <c r="J15" s="119"/>
      <c r="K15" s="271"/>
      <c r="L15" s="154"/>
      <c r="M15" s="154"/>
      <c r="N15" s="155"/>
      <c r="O15" s="153">
        <f t="shared" si="1"/>
        <v>949.95999999999958</v>
      </c>
    </row>
    <row r="16" spans="1:15" x14ac:dyDescent="0.2">
      <c r="A16" s="116"/>
      <c r="B16" s="185"/>
      <c r="C16" s="271"/>
      <c r="D16" s="154"/>
      <c r="E16" s="154"/>
      <c r="F16" s="155"/>
      <c r="G16" s="153">
        <f t="shared" si="0"/>
        <v>0</v>
      </c>
      <c r="I16" s="116"/>
      <c r="J16" s="185"/>
      <c r="K16" s="271"/>
      <c r="L16" s="154"/>
      <c r="M16" s="154"/>
      <c r="N16" s="155"/>
      <c r="O16" s="153">
        <f t="shared" si="1"/>
        <v>949.95999999999958</v>
      </c>
    </row>
    <row r="17" spans="1:15" x14ac:dyDescent="0.2">
      <c r="A17" s="120"/>
      <c r="B17" s="117"/>
      <c r="C17" s="117"/>
      <c r="D17" s="154"/>
      <c r="E17" s="154"/>
      <c r="F17" s="154"/>
      <c r="G17" s="153">
        <f t="shared" si="0"/>
        <v>0</v>
      </c>
      <c r="I17" s="120"/>
      <c r="J17" s="117"/>
      <c r="K17" s="117"/>
      <c r="L17" s="154"/>
      <c r="M17" s="154"/>
      <c r="N17" s="154"/>
      <c r="O17" s="153">
        <f t="shared" si="1"/>
        <v>949.95999999999958</v>
      </c>
    </row>
    <row r="18" spans="1:15" x14ac:dyDescent="0.2">
      <c r="A18" s="120"/>
      <c r="B18" s="117"/>
      <c r="C18" s="117"/>
      <c r="D18" s="154"/>
      <c r="E18" s="154"/>
      <c r="F18" s="154"/>
      <c r="G18" s="153">
        <f t="shared" si="0"/>
        <v>0</v>
      </c>
      <c r="I18" s="120"/>
      <c r="J18" s="117"/>
      <c r="K18" s="117"/>
      <c r="L18" s="154"/>
      <c r="M18" s="154"/>
      <c r="N18" s="154"/>
      <c r="O18" s="153">
        <f t="shared" si="1"/>
        <v>949.95999999999958</v>
      </c>
    </row>
    <row r="19" spans="1:15" x14ac:dyDescent="0.2">
      <c r="A19" s="120"/>
      <c r="B19" s="117"/>
      <c r="C19" s="117"/>
      <c r="D19" s="154"/>
      <c r="E19" s="154"/>
      <c r="F19" s="154"/>
      <c r="G19" s="153">
        <f t="shared" si="0"/>
        <v>0</v>
      </c>
      <c r="I19" s="120"/>
      <c r="J19" s="117"/>
      <c r="K19" s="117"/>
      <c r="L19" s="154"/>
      <c r="M19" s="154"/>
      <c r="N19" s="154"/>
      <c r="O19" s="153">
        <f t="shared" si="1"/>
        <v>949.95999999999958</v>
      </c>
    </row>
    <row r="20" spans="1:15" x14ac:dyDescent="0.2">
      <c r="A20" s="120"/>
      <c r="B20" s="117"/>
      <c r="C20" s="117"/>
      <c r="D20" s="154"/>
      <c r="E20" s="154"/>
      <c r="F20" s="154"/>
      <c r="G20" s="153">
        <f t="shared" si="0"/>
        <v>0</v>
      </c>
      <c r="I20" s="120"/>
      <c r="J20" s="117"/>
      <c r="K20" s="117"/>
      <c r="L20" s="154"/>
      <c r="M20" s="154"/>
      <c r="N20" s="154"/>
      <c r="O20" s="153">
        <f t="shared" si="1"/>
        <v>949.95999999999958</v>
      </c>
    </row>
    <row r="21" spans="1:15" x14ac:dyDescent="0.2">
      <c r="A21" s="120"/>
      <c r="B21" s="117"/>
      <c r="C21" s="117"/>
      <c r="D21" s="154"/>
      <c r="E21" s="154"/>
      <c r="F21" s="154"/>
      <c r="G21" s="153">
        <f t="shared" si="0"/>
        <v>0</v>
      </c>
      <c r="I21" s="120"/>
      <c r="J21" s="117"/>
      <c r="K21" s="117"/>
      <c r="L21" s="154"/>
      <c r="M21" s="154"/>
      <c r="N21" s="154"/>
      <c r="O21" s="153">
        <f t="shared" si="1"/>
        <v>949.95999999999958</v>
      </c>
    </row>
    <row r="22" spans="1:15" x14ac:dyDescent="0.2">
      <c r="A22" s="120"/>
      <c r="B22" s="117"/>
      <c r="C22" s="117"/>
      <c r="D22" s="154"/>
      <c r="E22" s="154"/>
      <c r="F22" s="154"/>
      <c r="G22" s="153">
        <f t="shared" si="0"/>
        <v>0</v>
      </c>
      <c r="I22" s="120"/>
      <c r="J22" s="117"/>
      <c r="K22" s="117"/>
      <c r="L22" s="154"/>
      <c r="M22" s="154"/>
      <c r="N22" s="154"/>
      <c r="O22" s="153">
        <f t="shared" si="1"/>
        <v>949.95999999999958</v>
      </c>
    </row>
    <row r="23" spans="1:15" x14ac:dyDescent="0.2">
      <c r="A23" s="120"/>
      <c r="B23" s="117"/>
      <c r="C23" s="117"/>
      <c r="D23" s="154"/>
      <c r="E23" s="154"/>
      <c r="F23" s="154"/>
      <c r="G23" s="153">
        <f t="shared" si="0"/>
        <v>0</v>
      </c>
      <c r="I23" s="120"/>
      <c r="J23" s="117"/>
      <c r="K23" s="117"/>
      <c r="L23" s="154"/>
      <c r="M23" s="154"/>
      <c r="N23" s="154"/>
      <c r="O23" s="153">
        <f t="shared" si="1"/>
        <v>949.95999999999958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3">
        <f t="shared" si="0"/>
        <v>0</v>
      </c>
      <c r="I24" s="121"/>
      <c r="J24" s="122"/>
      <c r="K24" s="122"/>
      <c r="L24" s="157"/>
      <c r="M24" s="157"/>
      <c r="N24" s="157"/>
      <c r="O24" s="153">
        <f t="shared" si="1"/>
        <v>949.95999999999958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0</v>
      </c>
      <c r="I26" s="124" t="s">
        <v>3</v>
      </c>
      <c r="J26" s="125"/>
      <c r="K26" s="125"/>
      <c r="L26" s="159"/>
      <c r="M26" s="160"/>
      <c r="N26" s="160"/>
      <c r="O26" s="209">
        <f>O24</f>
        <v>949.95999999999958</v>
      </c>
    </row>
  </sheetData>
  <mergeCells count="12">
    <mergeCell ref="A6:G6"/>
    <mergeCell ref="I1:O1"/>
    <mergeCell ref="I2:O2"/>
    <mergeCell ref="I3:O3"/>
    <mergeCell ref="I4:O4"/>
    <mergeCell ref="I5:O5"/>
    <mergeCell ref="I6:O6"/>
    <mergeCell ref="A1:G1"/>
    <mergeCell ref="A2:G2"/>
    <mergeCell ref="A3:G3"/>
    <mergeCell ref="A4:G4"/>
    <mergeCell ref="A5:G5"/>
  </mergeCells>
  <hyperlinks>
    <hyperlink ref="H1" location="Overall!A1" display="HOME" xr:uid="{00000000-0004-0000-2B00-000000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0"/>
  <dimension ref="A1:O29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0.7109375" style="49" customWidth="1"/>
    <col min="2" max="2" width="10.5703125" style="49" bestFit="1" customWidth="1"/>
    <col min="3" max="3" width="33.28515625" style="49" customWidth="1"/>
    <col min="4" max="4" width="10.28515625" style="49" bestFit="1" customWidth="1"/>
    <col min="5" max="5" width="6" style="49" bestFit="1" customWidth="1"/>
    <col min="6" max="6" width="12" style="49" bestFit="1" customWidth="1"/>
    <col min="7" max="7" width="12.7109375" style="49" bestFit="1" customWidth="1"/>
    <col min="8" max="8" width="9.140625" style="49"/>
    <col min="9" max="9" width="10.7109375" style="49" customWidth="1"/>
    <col min="10" max="10" width="10.5703125" style="49" bestFit="1" customWidth="1"/>
    <col min="11" max="11" width="33.28515625" style="49" customWidth="1"/>
    <col min="12" max="12" width="10.28515625" style="49" bestFit="1" customWidth="1"/>
    <col min="13" max="13" width="6" style="49" bestFit="1" customWidth="1"/>
    <col min="14" max="14" width="12" style="49" bestFit="1" customWidth="1"/>
    <col min="15" max="15" width="12.7109375" style="49" bestFit="1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27</v>
      </c>
      <c r="B4" s="363"/>
      <c r="C4" s="363"/>
      <c r="D4" s="363"/>
      <c r="E4" s="363"/>
      <c r="F4" s="363"/>
      <c r="G4" s="364"/>
      <c r="I4" s="362" t="s">
        <v>27</v>
      </c>
      <c r="J4" s="363"/>
      <c r="K4" s="363"/>
      <c r="L4" s="363"/>
      <c r="M4" s="363"/>
      <c r="N4" s="363"/>
      <c r="O4" s="364"/>
    </row>
    <row r="5" spans="1:15" ht="15" customHeight="1" x14ac:dyDescent="0.5">
      <c r="A5" s="365" t="s">
        <v>68</v>
      </c>
      <c r="B5" s="374"/>
      <c r="C5" s="374"/>
      <c r="D5" s="374"/>
      <c r="E5" s="374"/>
      <c r="F5" s="374"/>
      <c r="G5" s="375"/>
      <c r="H5" s="96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97"/>
      <c r="I6" s="376" t="s">
        <v>94</v>
      </c>
      <c r="J6" s="377"/>
      <c r="K6" s="377"/>
      <c r="L6" s="377"/>
      <c r="M6" s="377"/>
      <c r="N6" s="377"/>
      <c r="O6" s="378"/>
    </row>
    <row r="7" spans="1:15" ht="29.25" customHeight="1" thickBot="1" x14ac:dyDescent="0.25">
      <c r="A7" s="216" t="s">
        <v>1</v>
      </c>
      <c r="B7" s="217" t="s">
        <v>12</v>
      </c>
      <c r="C7" s="218" t="s">
        <v>0</v>
      </c>
      <c r="D7" s="230" t="s">
        <v>2</v>
      </c>
      <c r="E7" s="230" t="s">
        <v>7</v>
      </c>
      <c r="F7" s="230" t="s">
        <v>5</v>
      </c>
      <c r="G7" s="231" t="s">
        <v>6</v>
      </c>
      <c r="I7" s="216" t="s">
        <v>1</v>
      </c>
      <c r="J7" s="217" t="s">
        <v>12</v>
      </c>
      <c r="K7" s="218" t="s">
        <v>0</v>
      </c>
      <c r="L7" s="230" t="s">
        <v>2</v>
      </c>
      <c r="M7" s="230" t="s">
        <v>7</v>
      </c>
      <c r="N7" s="230" t="s">
        <v>5</v>
      </c>
      <c r="O7" s="231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3136</v>
      </c>
      <c r="I8" s="247"/>
      <c r="J8" s="238"/>
      <c r="K8" s="9" t="s">
        <v>75</v>
      </c>
      <c r="L8" s="104"/>
      <c r="M8" s="248"/>
      <c r="N8" s="248"/>
      <c r="O8" s="249">
        <v>2184.56</v>
      </c>
    </row>
    <row r="9" spans="1:15" ht="25.5" x14ac:dyDescent="0.2">
      <c r="A9" s="327">
        <v>42998</v>
      </c>
      <c r="B9" s="329" t="s">
        <v>168</v>
      </c>
      <c r="C9" s="328" t="s">
        <v>166</v>
      </c>
      <c r="D9" s="104"/>
      <c r="E9" s="104"/>
      <c r="F9" s="105">
        <v>240</v>
      </c>
      <c r="G9" s="103">
        <f t="shared" ref="G9:G27" si="0">SUM(G8+D9-E9-F9)</f>
        <v>2896</v>
      </c>
      <c r="I9" s="62">
        <v>43217</v>
      </c>
      <c r="J9" s="63" t="s">
        <v>313</v>
      </c>
      <c r="K9" s="63" t="s">
        <v>314</v>
      </c>
      <c r="L9" s="104"/>
      <c r="M9" s="104"/>
      <c r="N9" s="105">
        <f>395.78-42.87</f>
        <v>352.90999999999997</v>
      </c>
      <c r="O9" s="103">
        <f t="shared" ref="O9:O27" si="1">SUM(O8+L9-M9-N9)</f>
        <v>1831.65</v>
      </c>
    </row>
    <row r="10" spans="1:15" ht="25.5" x14ac:dyDescent="0.2">
      <c r="A10" s="62">
        <v>43052</v>
      </c>
      <c r="B10" s="329" t="s">
        <v>168</v>
      </c>
      <c r="C10" s="328" t="s">
        <v>169</v>
      </c>
      <c r="D10" s="104"/>
      <c r="E10" s="104"/>
      <c r="F10" s="105">
        <v>240</v>
      </c>
      <c r="G10" s="103">
        <f t="shared" si="0"/>
        <v>2656</v>
      </c>
      <c r="I10" s="62">
        <v>43217</v>
      </c>
      <c r="J10" s="63" t="s">
        <v>315</v>
      </c>
      <c r="K10" s="63" t="s">
        <v>316</v>
      </c>
      <c r="L10" s="104"/>
      <c r="M10" s="104"/>
      <c r="N10" s="105">
        <v>455</v>
      </c>
      <c r="O10" s="103">
        <f t="shared" si="1"/>
        <v>1376.65</v>
      </c>
    </row>
    <row r="11" spans="1:15" x14ac:dyDescent="0.2">
      <c r="A11" s="62">
        <v>43052</v>
      </c>
      <c r="B11" s="9"/>
      <c r="C11" s="63" t="s">
        <v>174</v>
      </c>
      <c r="D11" s="104"/>
      <c r="E11" s="104"/>
      <c r="F11" s="105">
        <v>34.020000000000003</v>
      </c>
      <c r="G11" s="103">
        <f t="shared" si="0"/>
        <v>2621.98</v>
      </c>
      <c r="I11" s="62">
        <v>43206</v>
      </c>
      <c r="J11" s="9">
        <v>11607875</v>
      </c>
      <c r="K11" s="9" t="s">
        <v>317</v>
      </c>
      <c r="L11" s="104"/>
      <c r="M11" s="104"/>
      <c r="N11" s="105">
        <v>1322.25</v>
      </c>
      <c r="O11" s="103">
        <f t="shared" si="1"/>
        <v>54.400000000000091</v>
      </c>
    </row>
    <row r="12" spans="1:15" x14ac:dyDescent="0.2">
      <c r="A12" s="62">
        <v>43052</v>
      </c>
      <c r="B12" s="25"/>
      <c r="C12" s="63" t="s">
        <v>174</v>
      </c>
      <c r="D12" s="101"/>
      <c r="E12" s="101"/>
      <c r="F12" s="102">
        <v>2.56</v>
      </c>
      <c r="G12" s="103">
        <f t="shared" si="0"/>
        <v>2619.42</v>
      </c>
      <c r="I12" s="243"/>
      <c r="J12" s="63"/>
      <c r="K12" s="63"/>
      <c r="L12" s="101"/>
      <c r="M12" s="101"/>
      <c r="N12" s="102"/>
      <c r="O12" s="103">
        <f t="shared" si="1"/>
        <v>54.400000000000091</v>
      </c>
    </row>
    <row r="13" spans="1:15" x14ac:dyDescent="0.2">
      <c r="A13" s="62">
        <v>43052</v>
      </c>
      <c r="B13" s="9"/>
      <c r="C13" s="63" t="s">
        <v>170</v>
      </c>
      <c r="D13" s="101"/>
      <c r="E13" s="101"/>
      <c r="F13" s="102">
        <v>190.06</v>
      </c>
      <c r="G13" s="103">
        <f>SUM(G12+D13-E13-F13)</f>
        <v>2429.36</v>
      </c>
      <c r="I13" s="243"/>
      <c r="J13" s="9"/>
      <c r="K13" s="58"/>
      <c r="L13" s="101"/>
      <c r="M13" s="101"/>
      <c r="N13" s="102"/>
      <c r="O13" s="103">
        <f t="shared" si="1"/>
        <v>54.400000000000091</v>
      </c>
    </row>
    <row r="14" spans="1:15" x14ac:dyDescent="0.2">
      <c r="A14" s="62">
        <v>43052</v>
      </c>
      <c r="B14" s="9"/>
      <c r="C14" s="63" t="s">
        <v>172</v>
      </c>
      <c r="D14" s="104"/>
      <c r="E14" s="104"/>
      <c r="F14" s="105">
        <v>11.44</v>
      </c>
      <c r="G14" s="103">
        <f t="shared" ref="G14:G15" si="2">SUM(G13+D14-E14-F14)</f>
        <v>2417.92</v>
      </c>
      <c r="I14" s="62"/>
      <c r="J14" s="9"/>
      <c r="K14" s="9"/>
      <c r="L14" s="104"/>
      <c r="M14" s="104"/>
      <c r="N14" s="105"/>
      <c r="O14" s="103">
        <f t="shared" si="1"/>
        <v>54.400000000000091</v>
      </c>
    </row>
    <row r="15" spans="1:15" x14ac:dyDescent="0.2">
      <c r="A15" s="62">
        <v>43052</v>
      </c>
      <c r="B15" s="9"/>
      <c r="C15" s="63" t="s">
        <v>171</v>
      </c>
      <c r="D15" s="104"/>
      <c r="E15" s="104"/>
      <c r="F15" s="105">
        <v>16.45</v>
      </c>
      <c r="G15" s="103">
        <f t="shared" si="2"/>
        <v>2401.4700000000003</v>
      </c>
      <c r="I15" s="62"/>
      <c r="J15" s="9"/>
      <c r="K15" s="9"/>
      <c r="L15" s="104"/>
      <c r="M15" s="104"/>
      <c r="N15" s="105"/>
      <c r="O15" s="103">
        <f t="shared" si="1"/>
        <v>54.400000000000091</v>
      </c>
    </row>
    <row r="16" spans="1:15" x14ac:dyDescent="0.2">
      <c r="A16" s="62">
        <v>43052</v>
      </c>
      <c r="B16" s="9"/>
      <c r="C16" s="63" t="s">
        <v>173</v>
      </c>
      <c r="D16" s="104"/>
      <c r="E16" s="104"/>
      <c r="F16" s="105">
        <v>297.57</v>
      </c>
      <c r="G16" s="103">
        <f t="shared" si="0"/>
        <v>2103.9</v>
      </c>
      <c r="I16" s="62"/>
      <c r="J16" s="9"/>
      <c r="K16" s="9"/>
      <c r="L16" s="104"/>
      <c r="M16" s="104"/>
      <c r="N16" s="105"/>
      <c r="O16" s="103">
        <f t="shared" si="1"/>
        <v>54.400000000000091</v>
      </c>
    </row>
    <row r="17" spans="1:15" x14ac:dyDescent="0.2">
      <c r="A17" s="62">
        <v>43052</v>
      </c>
      <c r="B17" s="9"/>
      <c r="C17" s="63" t="s">
        <v>175</v>
      </c>
      <c r="D17" s="104"/>
      <c r="E17" s="104"/>
      <c r="F17" s="105">
        <v>1526.6</v>
      </c>
      <c r="G17" s="103">
        <f t="shared" si="0"/>
        <v>577.30000000000018</v>
      </c>
      <c r="I17" s="62"/>
      <c r="J17" s="9"/>
      <c r="K17" s="9"/>
      <c r="L17" s="104"/>
      <c r="M17" s="104"/>
      <c r="N17" s="105"/>
      <c r="O17" s="103">
        <f t="shared" si="1"/>
        <v>54.400000000000091</v>
      </c>
    </row>
    <row r="18" spans="1:15" x14ac:dyDescent="0.2">
      <c r="A18" s="59"/>
      <c r="B18" s="9"/>
      <c r="C18" s="9"/>
      <c r="D18" s="104"/>
      <c r="E18" s="104"/>
      <c r="F18" s="105"/>
      <c r="G18" s="103">
        <f t="shared" si="0"/>
        <v>577.30000000000018</v>
      </c>
      <c r="I18" s="62"/>
      <c r="J18" s="9"/>
      <c r="K18" s="9"/>
      <c r="L18" s="104"/>
      <c r="M18" s="104"/>
      <c r="N18" s="105"/>
      <c r="O18" s="103">
        <f t="shared" si="1"/>
        <v>54.400000000000091</v>
      </c>
    </row>
    <row r="19" spans="1:15" x14ac:dyDescent="0.2">
      <c r="A19" s="59"/>
      <c r="B19" s="9"/>
      <c r="C19" s="9"/>
      <c r="D19" s="104"/>
      <c r="E19" s="104"/>
      <c r="F19" s="105"/>
      <c r="G19" s="103">
        <f t="shared" si="0"/>
        <v>577.30000000000018</v>
      </c>
      <c r="I19" s="62"/>
      <c r="J19" s="9"/>
      <c r="K19" s="9"/>
      <c r="L19" s="104"/>
      <c r="M19" s="104"/>
      <c r="N19" s="105"/>
      <c r="O19" s="103">
        <f t="shared" si="1"/>
        <v>54.400000000000091</v>
      </c>
    </row>
    <row r="20" spans="1:15" x14ac:dyDescent="0.2">
      <c r="A20" s="59"/>
      <c r="B20" s="9"/>
      <c r="C20" s="9"/>
      <c r="D20" s="104"/>
      <c r="E20" s="104"/>
      <c r="F20" s="105"/>
      <c r="G20" s="103">
        <f t="shared" si="0"/>
        <v>577.30000000000018</v>
      </c>
      <c r="I20" s="62"/>
      <c r="J20" s="9"/>
      <c r="K20" s="9"/>
      <c r="L20" s="104"/>
      <c r="M20" s="104"/>
      <c r="N20" s="105"/>
      <c r="O20" s="103">
        <f t="shared" si="1"/>
        <v>54.400000000000091</v>
      </c>
    </row>
    <row r="21" spans="1:15" x14ac:dyDescent="0.2">
      <c r="A21" s="59"/>
      <c r="B21" s="9"/>
      <c r="C21" s="9"/>
      <c r="D21" s="104"/>
      <c r="E21" s="104"/>
      <c r="F21" s="105"/>
      <c r="G21" s="103">
        <f t="shared" si="0"/>
        <v>577.30000000000018</v>
      </c>
      <c r="I21" s="59"/>
      <c r="J21" s="9"/>
      <c r="K21" s="9"/>
      <c r="L21" s="104"/>
      <c r="M21" s="104"/>
      <c r="N21" s="105"/>
      <c r="O21" s="103">
        <f t="shared" si="1"/>
        <v>54.400000000000091</v>
      </c>
    </row>
    <row r="22" spans="1:15" x14ac:dyDescent="0.2">
      <c r="A22" s="59"/>
      <c r="B22" s="9"/>
      <c r="C22" s="9"/>
      <c r="D22" s="104"/>
      <c r="E22" s="104"/>
      <c r="F22" s="105"/>
      <c r="G22" s="103">
        <f t="shared" si="0"/>
        <v>577.30000000000018</v>
      </c>
      <c r="I22" s="59"/>
      <c r="J22" s="9"/>
      <c r="K22" s="9"/>
      <c r="L22" s="104"/>
      <c r="M22" s="104"/>
      <c r="N22" s="105"/>
      <c r="O22" s="103">
        <f t="shared" si="1"/>
        <v>54.400000000000091</v>
      </c>
    </row>
    <row r="23" spans="1:15" x14ac:dyDescent="0.2">
      <c r="A23" s="59"/>
      <c r="B23" s="9"/>
      <c r="C23" s="9"/>
      <c r="D23" s="104"/>
      <c r="E23" s="104"/>
      <c r="F23" s="105"/>
      <c r="G23" s="103">
        <f t="shared" si="0"/>
        <v>577.30000000000018</v>
      </c>
      <c r="I23" s="59"/>
      <c r="J23" s="9"/>
      <c r="K23" s="9"/>
      <c r="L23" s="104"/>
      <c r="M23" s="104"/>
      <c r="N23" s="105"/>
      <c r="O23" s="103">
        <f t="shared" si="1"/>
        <v>54.400000000000091</v>
      </c>
    </row>
    <row r="24" spans="1:15" x14ac:dyDescent="0.2">
      <c r="A24" s="59"/>
      <c r="B24" s="9"/>
      <c r="C24" s="9"/>
      <c r="D24" s="104"/>
      <c r="E24" s="104"/>
      <c r="F24" s="105"/>
      <c r="G24" s="103">
        <f t="shared" si="0"/>
        <v>577.30000000000018</v>
      </c>
      <c r="I24" s="59"/>
      <c r="J24" s="9"/>
      <c r="K24" s="9"/>
      <c r="L24" s="104"/>
      <c r="M24" s="104"/>
      <c r="N24" s="105"/>
      <c r="O24" s="103">
        <f t="shared" si="1"/>
        <v>54.400000000000091</v>
      </c>
    </row>
    <row r="25" spans="1:15" x14ac:dyDescent="0.2">
      <c r="A25" s="59"/>
      <c r="B25" s="9"/>
      <c r="C25" s="9"/>
      <c r="D25" s="104"/>
      <c r="E25" s="104"/>
      <c r="F25" s="105"/>
      <c r="G25" s="103">
        <f t="shared" si="0"/>
        <v>577.30000000000018</v>
      </c>
      <c r="I25" s="59"/>
      <c r="J25" s="9"/>
      <c r="K25" s="9"/>
      <c r="L25" s="104"/>
      <c r="M25" s="104"/>
      <c r="N25" s="105"/>
      <c r="O25" s="103">
        <f t="shared" si="1"/>
        <v>54.400000000000091</v>
      </c>
    </row>
    <row r="26" spans="1:15" x14ac:dyDescent="0.2">
      <c r="A26" s="59"/>
      <c r="B26" s="9"/>
      <c r="C26" s="9"/>
      <c r="D26" s="104"/>
      <c r="E26" s="104"/>
      <c r="F26" s="105"/>
      <c r="G26" s="103">
        <f t="shared" si="0"/>
        <v>577.30000000000018</v>
      </c>
      <c r="I26" s="59"/>
      <c r="J26" s="9"/>
      <c r="K26" s="9"/>
      <c r="L26" s="104"/>
      <c r="M26" s="104"/>
      <c r="N26" s="105"/>
      <c r="O26" s="103">
        <f t="shared" si="1"/>
        <v>54.400000000000091</v>
      </c>
    </row>
    <row r="27" spans="1:15" ht="13.5" thickBot="1" x14ac:dyDescent="0.25">
      <c r="A27" s="59"/>
      <c r="B27" s="9"/>
      <c r="C27" s="9"/>
      <c r="D27" s="104"/>
      <c r="E27" s="104"/>
      <c r="F27" s="105"/>
      <c r="G27" s="103">
        <f t="shared" si="0"/>
        <v>577.30000000000018</v>
      </c>
      <c r="I27" s="59"/>
      <c r="J27" s="9"/>
      <c r="K27" s="9"/>
      <c r="L27" s="104"/>
      <c r="M27" s="104"/>
      <c r="N27" s="105"/>
      <c r="O27" s="103">
        <f t="shared" si="1"/>
        <v>54.400000000000091</v>
      </c>
    </row>
    <row r="28" spans="1:15" x14ac:dyDescent="0.2">
      <c r="A28" s="44"/>
      <c r="B28" s="45"/>
      <c r="C28" s="45"/>
      <c r="D28" s="45"/>
      <c r="E28" s="45"/>
      <c r="F28" s="45"/>
      <c r="G28" s="98"/>
      <c r="I28" s="44"/>
      <c r="J28" s="45"/>
      <c r="K28" s="45"/>
      <c r="L28" s="45"/>
      <c r="M28" s="45"/>
      <c r="N28" s="45"/>
      <c r="O28" s="98"/>
    </row>
    <row r="29" spans="1:15" ht="13.5" thickBot="1" x14ac:dyDescent="0.25">
      <c r="A29" s="42" t="s">
        <v>3</v>
      </c>
      <c r="B29" s="43"/>
      <c r="C29" s="43"/>
      <c r="D29" s="76"/>
      <c r="E29" s="107"/>
      <c r="F29" s="107"/>
      <c r="G29" s="211">
        <f>G27</f>
        <v>577.30000000000018</v>
      </c>
      <c r="I29" s="42" t="s">
        <v>3</v>
      </c>
      <c r="J29" s="43"/>
      <c r="K29" s="43"/>
      <c r="L29" s="76"/>
      <c r="M29" s="107"/>
      <c r="N29" s="107"/>
      <c r="O29" s="211">
        <f>O27</f>
        <v>54.400000000000091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C00-000000000000}"/>
  </hyperlinks>
  <pageMargins left="0.7" right="0.7" top="0.75" bottom="0.75" header="0.3" footer="0.3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O31"/>
  <sheetViews>
    <sheetView topLeftCell="F1" zoomScaleNormal="100" workbookViewId="0">
      <selection activeCell="H1" sqref="H1"/>
    </sheetView>
  </sheetViews>
  <sheetFormatPr defaultRowHeight="12.75" x14ac:dyDescent="0.2"/>
  <cols>
    <col min="1" max="1" width="11.5703125" style="246" bestFit="1" customWidth="1"/>
    <col min="2" max="2" width="11.5703125" style="246" customWidth="1"/>
    <col min="3" max="3" width="25.7109375" style="246" customWidth="1"/>
    <col min="4" max="4" width="11.85546875" style="246" customWidth="1"/>
    <col min="5" max="5" width="5.42578125" style="246" bestFit="1" customWidth="1"/>
    <col min="6" max="6" width="12" style="246" bestFit="1" customWidth="1"/>
    <col min="7" max="7" width="11.5703125" style="246" bestFit="1" customWidth="1"/>
    <col min="8" max="8" width="9.140625" style="246"/>
    <col min="9" max="9" width="11.5703125" style="246" bestFit="1" customWidth="1"/>
    <col min="10" max="10" width="11.5703125" style="246" customWidth="1"/>
    <col min="11" max="11" width="25.7109375" style="246" customWidth="1"/>
    <col min="12" max="12" width="11.85546875" style="246" customWidth="1"/>
    <col min="13" max="13" width="5.42578125" style="246" bestFit="1" customWidth="1"/>
    <col min="14" max="14" width="12" style="246" bestFit="1" customWidth="1"/>
    <col min="15" max="15" width="11.5703125" style="246" bestFit="1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90</v>
      </c>
      <c r="B4" s="363"/>
      <c r="C4" s="363"/>
      <c r="D4" s="363"/>
      <c r="E4" s="363"/>
      <c r="F4" s="363"/>
      <c r="G4" s="364"/>
      <c r="I4" s="362" t="s">
        <v>90</v>
      </c>
      <c r="J4" s="363"/>
      <c r="K4" s="363"/>
      <c r="L4" s="363"/>
      <c r="M4" s="363"/>
      <c r="N4" s="363"/>
      <c r="O4" s="364"/>
    </row>
    <row r="5" spans="1:15" ht="18" customHeight="1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183" t="s">
        <v>70</v>
      </c>
      <c r="D8" s="248"/>
      <c r="E8" s="248"/>
      <c r="F8" s="248"/>
      <c r="G8" s="249">
        <v>670.37</v>
      </c>
      <c r="I8" s="247"/>
      <c r="J8" s="238"/>
      <c r="K8" s="238" t="s">
        <v>74</v>
      </c>
      <c r="L8" s="248"/>
      <c r="M8" s="248"/>
      <c r="N8" s="248"/>
      <c r="O8" s="249">
        <v>588.44000000000005</v>
      </c>
    </row>
    <row r="9" spans="1:15" ht="38.25" x14ac:dyDescent="0.2">
      <c r="A9" s="150">
        <v>42998</v>
      </c>
      <c r="B9" s="232">
        <v>11405133</v>
      </c>
      <c r="C9" s="270" t="s">
        <v>101</v>
      </c>
      <c r="D9" s="151"/>
      <c r="E9" s="151"/>
      <c r="F9" s="152">
        <v>46.92</v>
      </c>
      <c r="G9" s="153">
        <f t="shared" ref="G9:G24" si="0">SUM(G8+D9-E9-F9)</f>
        <v>623.45000000000005</v>
      </c>
      <c r="I9" s="116">
        <v>43132</v>
      </c>
      <c r="J9" s="185" t="s">
        <v>105</v>
      </c>
      <c r="K9" s="271" t="s">
        <v>225</v>
      </c>
      <c r="L9" s="154"/>
      <c r="M9" s="154"/>
      <c r="N9" s="155">
        <v>148.97</v>
      </c>
      <c r="O9" s="153">
        <f t="shared" ref="O9:O24" si="1">SUM(O8+L9-M9-N9)</f>
        <v>439.47</v>
      </c>
    </row>
    <row r="10" spans="1:15" ht="25.5" x14ac:dyDescent="0.2">
      <c r="A10" s="150">
        <v>42998</v>
      </c>
      <c r="B10" s="232" t="s">
        <v>134</v>
      </c>
      <c r="C10" s="270" t="s">
        <v>135</v>
      </c>
      <c r="D10" s="151"/>
      <c r="E10" s="151"/>
      <c r="F10" s="152">
        <v>76</v>
      </c>
      <c r="G10" s="153">
        <f t="shared" si="0"/>
        <v>547.45000000000005</v>
      </c>
      <c r="I10" s="116">
        <v>43133</v>
      </c>
      <c r="J10" s="117" t="s">
        <v>105</v>
      </c>
      <c r="K10" s="272" t="s">
        <v>227</v>
      </c>
      <c r="L10" s="151"/>
      <c r="M10" s="151"/>
      <c r="N10" s="152">
        <v>186.72</v>
      </c>
      <c r="O10" s="153">
        <f t="shared" si="1"/>
        <v>252.75000000000003</v>
      </c>
    </row>
    <row r="11" spans="1:15" ht="25.5" x14ac:dyDescent="0.2">
      <c r="A11" s="150">
        <v>43039</v>
      </c>
      <c r="B11" s="232" t="s">
        <v>105</v>
      </c>
      <c r="C11" s="270" t="s">
        <v>153</v>
      </c>
      <c r="D11" s="151"/>
      <c r="E11" s="151"/>
      <c r="F11" s="152">
        <v>81.28</v>
      </c>
      <c r="G11" s="153">
        <f t="shared" si="0"/>
        <v>466.17000000000007</v>
      </c>
      <c r="I11" s="116">
        <v>43186</v>
      </c>
      <c r="J11" s="117" t="s">
        <v>280</v>
      </c>
      <c r="K11" s="185" t="s">
        <v>334</v>
      </c>
      <c r="L11" s="151"/>
      <c r="M11" s="151"/>
      <c r="N11" s="152">
        <v>38</v>
      </c>
      <c r="O11" s="153">
        <f t="shared" si="1"/>
        <v>214.75000000000003</v>
      </c>
    </row>
    <row r="12" spans="1:15" ht="25.5" x14ac:dyDescent="0.2">
      <c r="A12" s="116">
        <v>43049</v>
      </c>
      <c r="B12" s="185" t="s">
        <v>105</v>
      </c>
      <c r="C12" s="271" t="s">
        <v>165</v>
      </c>
      <c r="D12" s="154"/>
      <c r="E12" s="154"/>
      <c r="F12" s="155">
        <v>144.62</v>
      </c>
      <c r="G12" s="153">
        <f t="shared" si="0"/>
        <v>321.55000000000007</v>
      </c>
      <c r="H12" s="170"/>
      <c r="I12" s="116">
        <v>43207</v>
      </c>
      <c r="J12" s="185" t="s">
        <v>296</v>
      </c>
      <c r="K12" s="271" t="s">
        <v>295</v>
      </c>
      <c r="L12" s="154"/>
      <c r="M12" s="154"/>
      <c r="N12" s="155">
        <f>50-7.5</f>
        <v>42.5</v>
      </c>
      <c r="O12" s="153">
        <f t="shared" si="1"/>
        <v>172.25000000000003</v>
      </c>
    </row>
    <row r="13" spans="1:15" x14ac:dyDescent="0.2">
      <c r="A13" s="116"/>
      <c r="B13" s="185"/>
      <c r="C13" s="271"/>
      <c r="D13" s="154"/>
      <c r="E13" s="154"/>
      <c r="F13" s="155"/>
      <c r="G13" s="153">
        <f t="shared" si="0"/>
        <v>321.55000000000007</v>
      </c>
      <c r="H13" s="170"/>
      <c r="I13" s="116">
        <v>43221</v>
      </c>
      <c r="J13" s="185" t="s">
        <v>105</v>
      </c>
      <c r="K13" s="271" t="s">
        <v>347</v>
      </c>
      <c r="L13" s="154"/>
      <c r="M13" s="154"/>
      <c r="N13" s="155">
        <v>33.46</v>
      </c>
      <c r="O13" s="153">
        <f t="shared" si="1"/>
        <v>138.79000000000002</v>
      </c>
    </row>
    <row r="14" spans="1:15" x14ac:dyDescent="0.2">
      <c r="A14" s="116"/>
      <c r="B14" s="117"/>
      <c r="C14" s="272"/>
      <c r="D14" s="154"/>
      <c r="E14" s="154"/>
      <c r="F14" s="155"/>
      <c r="G14" s="153">
        <f t="shared" si="0"/>
        <v>321.55000000000007</v>
      </c>
      <c r="H14" s="170"/>
      <c r="I14" s="116">
        <v>43221</v>
      </c>
      <c r="J14" s="117" t="s">
        <v>105</v>
      </c>
      <c r="K14" s="272" t="s">
        <v>348</v>
      </c>
      <c r="L14" s="154"/>
      <c r="M14" s="154"/>
      <c r="N14" s="155">
        <v>11.97</v>
      </c>
      <c r="O14" s="153">
        <f t="shared" si="1"/>
        <v>126.82000000000002</v>
      </c>
    </row>
    <row r="15" spans="1:15" ht="12" customHeight="1" x14ac:dyDescent="0.2">
      <c r="A15" s="116"/>
      <c r="B15" s="119"/>
      <c r="C15" s="271"/>
      <c r="D15" s="154"/>
      <c r="E15" s="154"/>
      <c r="F15" s="155"/>
      <c r="G15" s="153">
        <f t="shared" si="0"/>
        <v>321.55000000000007</v>
      </c>
      <c r="I15" s="116">
        <v>43221</v>
      </c>
      <c r="J15" s="185" t="s">
        <v>105</v>
      </c>
      <c r="K15" s="271" t="s">
        <v>349</v>
      </c>
      <c r="L15" s="154"/>
      <c r="M15" s="154"/>
      <c r="N15" s="155">
        <v>46</v>
      </c>
      <c r="O15" s="153">
        <f t="shared" si="1"/>
        <v>80.820000000000022</v>
      </c>
    </row>
    <row r="16" spans="1:15" ht="12" customHeight="1" x14ac:dyDescent="0.2">
      <c r="A16" s="116"/>
      <c r="B16" s="185"/>
      <c r="C16" s="271"/>
      <c r="D16" s="154"/>
      <c r="E16" s="154"/>
      <c r="F16" s="155"/>
      <c r="G16" s="153">
        <f t="shared" si="0"/>
        <v>321.55000000000007</v>
      </c>
      <c r="I16" s="116"/>
      <c r="J16" s="185"/>
      <c r="K16" s="271"/>
      <c r="L16" s="154"/>
      <c r="M16" s="154"/>
      <c r="N16" s="155"/>
      <c r="O16" s="153">
        <f t="shared" si="1"/>
        <v>80.820000000000022</v>
      </c>
    </row>
    <row r="17" spans="1:15" x14ac:dyDescent="0.2">
      <c r="A17" s="120"/>
      <c r="B17" s="117"/>
      <c r="C17" s="117"/>
      <c r="D17" s="154"/>
      <c r="E17" s="154"/>
      <c r="F17" s="154"/>
      <c r="G17" s="153">
        <f t="shared" si="0"/>
        <v>321.55000000000007</v>
      </c>
      <c r="I17" s="120"/>
      <c r="J17" s="117"/>
      <c r="K17" s="117"/>
      <c r="L17" s="154"/>
      <c r="M17" s="154"/>
      <c r="N17" s="154"/>
      <c r="O17" s="153">
        <f t="shared" si="1"/>
        <v>80.820000000000022</v>
      </c>
    </row>
    <row r="18" spans="1:15" x14ac:dyDescent="0.2">
      <c r="A18" s="120"/>
      <c r="B18" s="117"/>
      <c r="C18" s="117"/>
      <c r="D18" s="154"/>
      <c r="E18" s="154"/>
      <c r="F18" s="154"/>
      <c r="G18" s="153">
        <f t="shared" si="0"/>
        <v>321.55000000000007</v>
      </c>
      <c r="I18" s="120"/>
      <c r="J18" s="117"/>
      <c r="K18" s="117"/>
      <c r="L18" s="154"/>
      <c r="M18" s="154"/>
      <c r="N18" s="154"/>
      <c r="O18" s="153">
        <f t="shared" si="1"/>
        <v>80.820000000000022</v>
      </c>
    </row>
    <row r="19" spans="1:15" x14ac:dyDescent="0.2">
      <c r="A19" s="120"/>
      <c r="B19" s="117"/>
      <c r="C19" s="117"/>
      <c r="D19" s="154"/>
      <c r="E19" s="154"/>
      <c r="F19" s="154"/>
      <c r="G19" s="153">
        <f t="shared" si="0"/>
        <v>321.55000000000007</v>
      </c>
      <c r="I19" s="120"/>
      <c r="J19" s="117"/>
      <c r="K19" s="117"/>
      <c r="L19" s="154"/>
      <c r="M19" s="154"/>
      <c r="N19" s="154"/>
      <c r="O19" s="153">
        <f t="shared" si="1"/>
        <v>80.820000000000022</v>
      </c>
    </row>
    <row r="20" spans="1:15" x14ac:dyDescent="0.2">
      <c r="A20" s="120"/>
      <c r="B20" s="117"/>
      <c r="C20" s="117"/>
      <c r="D20" s="154"/>
      <c r="E20" s="154"/>
      <c r="F20" s="154"/>
      <c r="G20" s="153">
        <f t="shared" si="0"/>
        <v>321.55000000000007</v>
      </c>
      <c r="I20" s="120"/>
      <c r="J20" s="117"/>
      <c r="K20" s="117"/>
      <c r="L20" s="154"/>
      <c r="M20" s="154"/>
      <c r="N20" s="154"/>
      <c r="O20" s="153">
        <f t="shared" si="1"/>
        <v>80.820000000000022</v>
      </c>
    </row>
    <row r="21" spans="1:15" x14ac:dyDescent="0.2">
      <c r="A21" s="120"/>
      <c r="B21" s="117"/>
      <c r="C21" s="117"/>
      <c r="D21" s="154"/>
      <c r="E21" s="154"/>
      <c r="F21" s="154"/>
      <c r="G21" s="153">
        <f t="shared" si="0"/>
        <v>321.55000000000007</v>
      </c>
      <c r="I21" s="120"/>
      <c r="J21" s="117"/>
      <c r="K21" s="117"/>
      <c r="L21" s="154"/>
      <c r="M21" s="154"/>
      <c r="N21" s="154"/>
      <c r="O21" s="153">
        <f t="shared" si="1"/>
        <v>80.820000000000022</v>
      </c>
    </row>
    <row r="22" spans="1:15" x14ac:dyDescent="0.2">
      <c r="A22" s="120"/>
      <c r="B22" s="117"/>
      <c r="C22" s="117"/>
      <c r="D22" s="154"/>
      <c r="E22" s="154"/>
      <c r="F22" s="154"/>
      <c r="G22" s="153">
        <f t="shared" si="0"/>
        <v>321.55000000000007</v>
      </c>
      <c r="I22" s="120"/>
      <c r="J22" s="117"/>
      <c r="K22" s="117"/>
      <c r="L22" s="154"/>
      <c r="M22" s="154"/>
      <c r="N22" s="154"/>
      <c r="O22" s="153">
        <f t="shared" si="1"/>
        <v>80.820000000000022</v>
      </c>
    </row>
    <row r="23" spans="1:15" x14ac:dyDescent="0.2">
      <c r="A23" s="120"/>
      <c r="B23" s="117"/>
      <c r="C23" s="117"/>
      <c r="D23" s="154"/>
      <c r="E23" s="154"/>
      <c r="F23" s="154"/>
      <c r="G23" s="153">
        <f t="shared" si="0"/>
        <v>321.55000000000007</v>
      </c>
      <c r="I23" s="120"/>
      <c r="J23" s="117"/>
      <c r="K23" s="117"/>
      <c r="L23" s="154"/>
      <c r="M23" s="154"/>
      <c r="N23" s="154"/>
      <c r="O23" s="153">
        <f t="shared" si="1"/>
        <v>80.820000000000022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3">
        <f t="shared" si="0"/>
        <v>321.55000000000007</v>
      </c>
      <c r="I24" s="121"/>
      <c r="J24" s="122"/>
      <c r="K24" s="122"/>
      <c r="L24" s="157"/>
      <c r="M24" s="157"/>
      <c r="N24" s="157"/>
      <c r="O24" s="153">
        <f t="shared" si="1"/>
        <v>80.820000000000022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321.55000000000007</v>
      </c>
      <c r="I26" s="124" t="s">
        <v>3</v>
      </c>
      <c r="J26" s="125"/>
      <c r="K26" s="125"/>
      <c r="L26" s="159"/>
      <c r="M26" s="160"/>
      <c r="N26" s="160"/>
      <c r="O26" s="209">
        <f>O24</f>
        <v>80.820000000000022</v>
      </c>
    </row>
    <row r="30" spans="1:15" x14ac:dyDescent="0.2">
      <c r="C30" s="246">
        <f>253.85-125.38</f>
        <v>128.47</v>
      </c>
    </row>
    <row r="31" spans="1:15" x14ac:dyDescent="0.2">
      <c r="C31" s="246">
        <f>128.47-108.71</f>
        <v>19.760000000000005</v>
      </c>
    </row>
  </sheetData>
  <mergeCells count="12">
    <mergeCell ref="A1:G1"/>
    <mergeCell ref="I1:O1"/>
    <mergeCell ref="A2:G2"/>
    <mergeCell ref="I2:O2"/>
    <mergeCell ref="A3:G3"/>
    <mergeCell ref="I3:O3"/>
    <mergeCell ref="A4:G4"/>
    <mergeCell ref="I4:O4"/>
    <mergeCell ref="A5:G5"/>
    <mergeCell ref="I5:O5"/>
    <mergeCell ref="A6:G6"/>
    <mergeCell ref="I6:O6"/>
  </mergeCells>
  <hyperlinks>
    <hyperlink ref="H1" location="Overall!A1" display="HOME" xr:uid="{00000000-0004-0000-2D00-000000000000}"/>
  </hyperlinks>
  <pageMargins left="0.7" right="0.7" top="0.75" bottom="0.75" header="0.3" footer="0.3"/>
  <pageSetup scale="94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44"/>
  <sheetViews>
    <sheetView zoomScaleNormal="100" workbookViewId="0">
      <selection activeCell="H1" sqref="H1"/>
    </sheetView>
  </sheetViews>
  <sheetFormatPr defaultRowHeight="12.75" customHeight="1" x14ac:dyDescent="0.2"/>
  <cols>
    <col min="1" max="1" width="11.5703125" customWidth="1"/>
    <col min="2" max="2" width="10.140625" bestFit="1" customWidth="1"/>
    <col min="3" max="3" width="29.42578125" bestFit="1" customWidth="1"/>
    <col min="4" max="4" width="15.140625" bestFit="1" customWidth="1"/>
    <col min="5" max="5" width="6" bestFit="1" customWidth="1"/>
    <col min="6" max="6" width="11.28515625" bestFit="1" customWidth="1"/>
    <col min="7" max="7" width="12" bestFit="1" customWidth="1"/>
    <col min="9" max="9" width="11.5703125" customWidth="1"/>
    <col min="10" max="10" width="10.140625" bestFit="1" customWidth="1"/>
    <col min="11" max="11" width="29.42578125" bestFit="1" customWidth="1"/>
    <col min="12" max="12" width="15.140625" bestFit="1" customWidth="1"/>
    <col min="13" max="13" width="6" bestFit="1" customWidth="1"/>
    <col min="14" max="14" width="11.28515625" bestFit="1" customWidth="1"/>
    <col min="15" max="15" width="12" bestFit="1" customWidth="1"/>
  </cols>
  <sheetData>
    <row r="1" spans="1:15" ht="12.75" customHeight="1" x14ac:dyDescent="0.2">
      <c r="A1" s="386" t="s">
        <v>11</v>
      </c>
      <c r="B1" s="368"/>
      <c r="C1" s="368"/>
      <c r="D1" s="368"/>
      <c r="E1" s="368"/>
      <c r="F1" s="368"/>
      <c r="G1" s="369"/>
      <c r="H1" s="291" t="s">
        <v>78</v>
      </c>
      <c r="I1" s="386" t="s">
        <v>11</v>
      </c>
      <c r="J1" s="368"/>
      <c r="K1" s="368"/>
      <c r="L1" s="368"/>
      <c r="M1" s="368"/>
      <c r="N1" s="368"/>
      <c r="O1" s="369"/>
    </row>
    <row r="2" spans="1:15" ht="12.75" customHeight="1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ht="12.75" customHeight="1" x14ac:dyDescent="0.2">
      <c r="A3" s="356"/>
      <c r="B3" s="372"/>
      <c r="C3" s="372"/>
      <c r="D3" s="372"/>
      <c r="E3" s="372"/>
      <c r="F3" s="372"/>
      <c r="G3" s="373"/>
      <c r="I3" s="356"/>
      <c r="J3" s="372"/>
      <c r="K3" s="372"/>
      <c r="L3" s="372"/>
      <c r="M3" s="372"/>
      <c r="N3" s="372"/>
      <c r="O3" s="373"/>
    </row>
    <row r="4" spans="1:15" ht="18" customHeight="1" x14ac:dyDescent="0.2">
      <c r="A4" s="362" t="s">
        <v>64</v>
      </c>
      <c r="B4" s="363"/>
      <c r="C4" s="363"/>
      <c r="D4" s="363"/>
      <c r="E4" s="363"/>
      <c r="F4" s="363"/>
      <c r="G4" s="364"/>
      <c r="I4" s="362" t="s">
        <v>64</v>
      </c>
      <c r="J4" s="363"/>
      <c r="K4" s="363"/>
      <c r="L4" s="363"/>
      <c r="M4" s="363"/>
      <c r="N4" s="363"/>
      <c r="O4" s="364"/>
    </row>
    <row r="5" spans="1:15" ht="15" customHeight="1" x14ac:dyDescent="0.2">
      <c r="A5" s="365" t="s">
        <v>69</v>
      </c>
      <c r="B5" s="374"/>
      <c r="C5" s="374"/>
      <c r="D5" s="374"/>
      <c r="E5" s="374"/>
      <c r="F5" s="374"/>
      <c r="G5" s="375"/>
      <c r="I5" s="365" t="s">
        <v>69</v>
      </c>
      <c r="J5" s="374"/>
      <c r="K5" s="374"/>
      <c r="L5" s="374"/>
      <c r="M5" s="374"/>
      <c r="N5" s="374"/>
      <c r="O5" s="375"/>
    </row>
    <row r="6" spans="1:15" ht="12.7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22" t="s">
        <v>1</v>
      </c>
      <c r="B7" s="274" t="s">
        <v>12</v>
      </c>
      <c r="C7" s="223" t="s">
        <v>0</v>
      </c>
      <c r="D7" s="224" t="s">
        <v>2</v>
      </c>
      <c r="E7" s="224" t="s">
        <v>7</v>
      </c>
      <c r="F7" s="224" t="s">
        <v>5</v>
      </c>
      <c r="G7" s="225" t="s">
        <v>6</v>
      </c>
      <c r="I7" s="222" t="s">
        <v>1</v>
      </c>
      <c r="J7" s="274" t="s">
        <v>12</v>
      </c>
      <c r="K7" s="223" t="s">
        <v>0</v>
      </c>
      <c r="L7" s="224" t="s">
        <v>2</v>
      </c>
      <c r="M7" s="224" t="s">
        <v>7</v>
      </c>
      <c r="N7" s="224" t="s">
        <v>5</v>
      </c>
      <c r="O7" s="225" t="s">
        <v>6</v>
      </c>
    </row>
    <row r="8" spans="1:15" ht="12.75" customHeight="1" x14ac:dyDescent="0.2">
      <c r="A8" s="247"/>
      <c r="B8" s="238"/>
      <c r="C8" s="238" t="s">
        <v>70</v>
      </c>
      <c r="D8" s="248"/>
      <c r="E8" s="248"/>
      <c r="F8" s="248"/>
      <c r="G8" s="249">
        <v>4210</v>
      </c>
      <c r="I8" s="247"/>
      <c r="J8" s="238"/>
      <c r="K8" s="238" t="s">
        <v>74</v>
      </c>
      <c r="L8" s="248"/>
      <c r="M8" s="248"/>
      <c r="N8" s="248"/>
      <c r="O8" s="249">
        <f>L8</f>
        <v>0</v>
      </c>
    </row>
    <row r="9" spans="1:15" ht="25.5" x14ac:dyDescent="0.2">
      <c r="A9" s="24">
        <v>43056</v>
      </c>
      <c r="B9" s="48">
        <v>11487879</v>
      </c>
      <c r="C9" s="310" t="s">
        <v>177</v>
      </c>
      <c r="D9" s="275"/>
      <c r="E9" s="15"/>
      <c r="F9" s="52">
        <v>400</v>
      </c>
      <c r="G9" s="26">
        <f t="shared" ref="G9:G42" si="0">SUM(G8+D9-E9-F9)</f>
        <v>3810</v>
      </c>
      <c r="H9" s="49"/>
      <c r="I9" s="62"/>
      <c r="J9" s="48"/>
      <c r="K9" s="63"/>
      <c r="L9" s="275"/>
      <c r="M9" s="15"/>
      <c r="N9" s="52"/>
      <c r="O9" s="26">
        <f t="shared" ref="O9:O42" si="1">SUM(O8+L9-M9-N9)</f>
        <v>0</v>
      </c>
    </row>
    <row r="10" spans="1:15" ht="25.5" x14ac:dyDescent="0.2">
      <c r="A10" s="87">
        <v>43089</v>
      </c>
      <c r="B10" s="236">
        <v>11520217</v>
      </c>
      <c r="C10" s="310" t="s">
        <v>213</v>
      </c>
      <c r="D10" s="275"/>
      <c r="E10" s="15"/>
      <c r="F10" s="52">
        <v>3810</v>
      </c>
      <c r="G10" s="26">
        <f t="shared" si="0"/>
        <v>0</v>
      </c>
      <c r="H10" s="49"/>
      <c r="I10" s="62"/>
      <c r="J10" s="236"/>
      <c r="K10" s="63"/>
      <c r="L10" s="275"/>
      <c r="M10" s="15"/>
      <c r="N10" s="52"/>
      <c r="O10" s="26">
        <f t="shared" si="1"/>
        <v>0</v>
      </c>
    </row>
    <row r="11" spans="1:15" ht="12.75" customHeight="1" x14ac:dyDescent="0.2">
      <c r="A11" s="62"/>
      <c r="B11" s="63"/>
      <c r="C11" s="63"/>
      <c r="D11" s="275"/>
      <c r="E11" s="15"/>
      <c r="F11" s="52"/>
      <c r="G11" s="26">
        <f t="shared" si="0"/>
        <v>0</v>
      </c>
      <c r="H11" s="49"/>
      <c r="I11" s="62"/>
      <c r="J11" s="63"/>
      <c r="K11" s="63"/>
      <c r="L11" s="275"/>
      <c r="M11" s="15"/>
      <c r="N11" s="52"/>
      <c r="O11" s="26">
        <f t="shared" si="1"/>
        <v>0</v>
      </c>
    </row>
    <row r="12" spans="1:15" ht="12.75" customHeight="1" x14ac:dyDescent="0.2">
      <c r="A12" s="14"/>
      <c r="B12" s="63"/>
      <c r="C12" s="63"/>
      <c r="D12" s="275"/>
      <c r="E12" s="15"/>
      <c r="F12" s="15"/>
      <c r="G12" s="26">
        <f t="shared" si="0"/>
        <v>0</v>
      </c>
      <c r="H12" s="49"/>
      <c r="I12" s="14"/>
      <c r="J12" s="63"/>
      <c r="K12" s="63"/>
      <c r="L12" s="275"/>
      <c r="M12" s="15"/>
      <c r="N12" s="15"/>
      <c r="O12" s="26">
        <f t="shared" si="1"/>
        <v>0</v>
      </c>
    </row>
    <row r="13" spans="1:15" ht="12.75" customHeight="1" x14ac:dyDescent="0.2">
      <c r="A13" s="14"/>
      <c r="B13" s="9"/>
      <c r="C13" s="63"/>
      <c r="D13" s="275"/>
      <c r="E13" s="15"/>
      <c r="F13" s="15"/>
      <c r="G13" s="26">
        <f t="shared" si="0"/>
        <v>0</v>
      </c>
      <c r="H13" s="49"/>
      <c r="I13" s="14"/>
      <c r="J13" s="9"/>
      <c r="K13" s="63"/>
      <c r="L13" s="275"/>
      <c r="M13" s="15"/>
      <c r="N13" s="15"/>
      <c r="O13" s="26">
        <f t="shared" si="1"/>
        <v>0</v>
      </c>
    </row>
    <row r="14" spans="1:15" ht="12.75" customHeight="1" x14ac:dyDescent="0.2">
      <c r="A14" s="14"/>
      <c r="B14" s="9"/>
      <c r="C14" s="9"/>
      <c r="D14" s="64"/>
      <c r="E14" s="15"/>
      <c r="F14" s="15"/>
      <c r="G14" s="26">
        <f t="shared" si="0"/>
        <v>0</v>
      </c>
      <c r="H14" s="49"/>
      <c r="I14" s="14"/>
      <c r="J14" s="9"/>
      <c r="K14" s="9"/>
      <c r="L14" s="64"/>
      <c r="M14" s="15"/>
      <c r="N14" s="15"/>
      <c r="O14" s="26">
        <f t="shared" si="1"/>
        <v>0</v>
      </c>
    </row>
    <row r="15" spans="1:15" ht="12.75" customHeight="1" x14ac:dyDescent="0.2">
      <c r="A15" s="14"/>
      <c r="B15" s="63"/>
      <c r="C15" s="63"/>
      <c r="D15" s="276"/>
      <c r="E15" s="64"/>
      <c r="F15" s="64"/>
      <c r="G15" s="26">
        <f t="shared" si="0"/>
        <v>0</v>
      </c>
      <c r="H15" s="49"/>
      <c r="I15" s="14"/>
      <c r="J15" s="63"/>
      <c r="K15" s="63"/>
      <c r="L15" s="276"/>
      <c r="M15" s="64"/>
      <c r="N15" s="64"/>
      <c r="O15" s="26">
        <f t="shared" si="1"/>
        <v>0</v>
      </c>
    </row>
    <row r="16" spans="1:15" ht="12.75" customHeight="1" x14ac:dyDescent="0.2">
      <c r="A16" s="14"/>
      <c r="B16" s="63"/>
      <c r="C16" s="63"/>
      <c r="D16" s="276"/>
      <c r="E16" s="64"/>
      <c r="F16" s="64"/>
      <c r="G16" s="26">
        <f t="shared" si="0"/>
        <v>0</v>
      </c>
      <c r="H16" s="49"/>
      <c r="I16" s="14"/>
      <c r="J16" s="63"/>
      <c r="K16" s="63"/>
      <c r="L16" s="276"/>
      <c r="M16" s="64"/>
      <c r="N16" s="64"/>
      <c r="O16" s="26">
        <f t="shared" si="1"/>
        <v>0</v>
      </c>
    </row>
    <row r="17" spans="1:15" ht="12.75" customHeight="1" x14ac:dyDescent="0.2">
      <c r="A17" s="14"/>
      <c r="B17" s="9"/>
      <c r="C17" s="63"/>
      <c r="D17" s="64"/>
      <c r="E17" s="15"/>
      <c r="F17" s="15"/>
      <c r="G17" s="26">
        <f t="shared" si="0"/>
        <v>0</v>
      </c>
      <c r="H17" s="49"/>
      <c r="I17" s="14"/>
      <c r="J17" s="9"/>
      <c r="K17" s="63"/>
      <c r="L17" s="64"/>
      <c r="M17" s="15"/>
      <c r="N17" s="15"/>
      <c r="O17" s="26">
        <f t="shared" si="1"/>
        <v>0</v>
      </c>
    </row>
    <row r="18" spans="1:15" ht="12.75" customHeight="1" x14ac:dyDescent="0.2">
      <c r="A18" s="47"/>
      <c r="B18" s="237"/>
      <c r="C18" s="237"/>
      <c r="D18" s="277"/>
      <c r="E18" s="10"/>
      <c r="F18" s="10"/>
      <c r="G18" s="26">
        <f t="shared" si="0"/>
        <v>0</v>
      </c>
      <c r="I18" s="47"/>
      <c r="J18" s="237"/>
      <c r="K18" s="237"/>
      <c r="L18" s="277"/>
      <c r="M18" s="10"/>
      <c r="N18" s="10"/>
      <c r="O18" s="26">
        <f t="shared" si="1"/>
        <v>0</v>
      </c>
    </row>
    <row r="19" spans="1:15" ht="12.75" customHeight="1" x14ac:dyDescent="0.2">
      <c r="A19" s="47"/>
      <c r="B19" s="237"/>
      <c r="C19" s="237"/>
      <c r="D19" s="10"/>
      <c r="E19" s="10"/>
      <c r="F19" s="10"/>
      <c r="G19" s="26">
        <f t="shared" si="0"/>
        <v>0</v>
      </c>
      <c r="I19" s="47"/>
      <c r="J19" s="237"/>
      <c r="K19" s="237"/>
      <c r="L19" s="10"/>
      <c r="M19" s="10"/>
      <c r="N19" s="10"/>
      <c r="O19" s="26">
        <f t="shared" si="1"/>
        <v>0</v>
      </c>
    </row>
    <row r="20" spans="1:15" ht="12.75" customHeight="1" x14ac:dyDescent="0.2">
      <c r="A20" s="47"/>
      <c r="B20" s="237"/>
      <c r="C20" s="237"/>
      <c r="D20" s="10"/>
      <c r="E20" s="10"/>
      <c r="F20" s="10"/>
      <c r="G20" s="26">
        <f t="shared" si="0"/>
        <v>0</v>
      </c>
      <c r="I20" s="47"/>
      <c r="J20" s="237"/>
      <c r="K20" s="237"/>
      <c r="L20" s="10"/>
      <c r="M20" s="10"/>
      <c r="N20" s="10"/>
      <c r="O20" s="26">
        <f t="shared" si="1"/>
        <v>0</v>
      </c>
    </row>
    <row r="21" spans="1:15" ht="12.75" customHeight="1" x14ac:dyDescent="0.2">
      <c r="A21" s="47"/>
      <c r="B21" s="237"/>
      <c r="C21" s="237"/>
      <c r="D21" s="10"/>
      <c r="E21" s="10"/>
      <c r="F21" s="10"/>
      <c r="G21" s="26">
        <f t="shared" si="0"/>
        <v>0</v>
      </c>
      <c r="I21" s="47"/>
      <c r="J21" s="237"/>
      <c r="K21" s="237"/>
      <c r="L21" s="10"/>
      <c r="M21" s="10"/>
      <c r="N21" s="10"/>
      <c r="O21" s="26">
        <f t="shared" si="1"/>
        <v>0</v>
      </c>
    </row>
    <row r="22" spans="1:15" ht="12.75" customHeight="1" x14ac:dyDescent="0.2">
      <c r="A22" s="47"/>
      <c r="B22" s="237"/>
      <c r="C22" s="237"/>
      <c r="D22" s="10"/>
      <c r="E22" s="10"/>
      <c r="F22" s="10"/>
      <c r="G22" s="26">
        <f t="shared" si="0"/>
        <v>0</v>
      </c>
      <c r="I22" s="47"/>
      <c r="J22" s="237"/>
      <c r="K22" s="237"/>
      <c r="L22" s="10"/>
      <c r="M22" s="10"/>
      <c r="N22" s="10"/>
      <c r="O22" s="26">
        <f t="shared" si="1"/>
        <v>0</v>
      </c>
    </row>
    <row r="23" spans="1:15" ht="12.75" customHeight="1" x14ac:dyDescent="0.2">
      <c r="A23" s="47"/>
      <c r="B23" s="237"/>
      <c r="C23" s="237"/>
      <c r="D23" s="10"/>
      <c r="E23" s="10"/>
      <c r="F23" s="10"/>
      <c r="G23" s="26">
        <f t="shared" si="0"/>
        <v>0</v>
      </c>
      <c r="I23" s="47"/>
      <c r="J23" s="237"/>
      <c r="K23" s="237"/>
      <c r="L23" s="10"/>
      <c r="M23" s="10"/>
      <c r="N23" s="10"/>
      <c r="O23" s="26">
        <f t="shared" si="1"/>
        <v>0</v>
      </c>
    </row>
    <row r="24" spans="1:15" ht="12.75" customHeight="1" x14ac:dyDescent="0.2">
      <c r="A24" s="47"/>
      <c r="B24" s="237"/>
      <c r="C24" s="237"/>
      <c r="D24" s="10"/>
      <c r="E24" s="10"/>
      <c r="F24" s="10"/>
      <c r="G24" s="26">
        <f t="shared" si="0"/>
        <v>0</v>
      </c>
      <c r="I24" s="47"/>
      <c r="J24" s="237"/>
      <c r="K24" s="237"/>
      <c r="L24" s="10"/>
      <c r="M24" s="10"/>
      <c r="N24" s="10"/>
      <c r="O24" s="26">
        <f t="shared" si="1"/>
        <v>0</v>
      </c>
    </row>
    <row r="25" spans="1:15" ht="12.75" customHeight="1" x14ac:dyDescent="0.2">
      <c r="A25" s="47"/>
      <c r="B25" s="237"/>
      <c r="C25" s="237"/>
      <c r="D25" s="10"/>
      <c r="E25" s="10"/>
      <c r="F25" s="10"/>
      <c r="G25" s="26">
        <f t="shared" si="0"/>
        <v>0</v>
      </c>
      <c r="I25" s="47"/>
      <c r="J25" s="237"/>
      <c r="K25" s="237"/>
      <c r="L25" s="10"/>
      <c r="M25" s="10"/>
      <c r="N25" s="10"/>
      <c r="O25" s="26">
        <f t="shared" si="1"/>
        <v>0</v>
      </c>
    </row>
    <row r="26" spans="1:15" ht="12.75" customHeight="1" x14ac:dyDescent="0.2">
      <c r="A26" s="47"/>
      <c r="B26" s="237"/>
      <c r="C26" s="237"/>
      <c r="D26" s="277"/>
      <c r="E26" s="10"/>
      <c r="F26" s="10"/>
      <c r="G26" s="26">
        <f t="shared" si="0"/>
        <v>0</v>
      </c>
      <c r="I26" s="47"/>
      <c r="J26" s="237"/>
      <c r="K26" s="237"/>
      <c r="L26" s="277"/>
      <c r="M26" s="10"/>
      <c r="N26" s="10"/>
      <c r="O26" s="26">
        <f t="shared" si="1"/>
        <v>0</v>
      </c>
    </row>
    <row r="27" spans="1:15" ht="12.75" customHeight="1" x14ac:dyDescent="0.2">
      <c r="A27" s="47"/>
      <c r="B27" s="237"/>
      <c r="C27" s="237"/>
      <c r="D27" s="10"/>
      <c r="E27" s="10"/>
      <c r="F27" s="10"/>
      <c r="G27" s="26">
        <f t="shared" si="0"/>
        <v>0</v>
      </c>
      <c r="I27" s="47"/>
      <c r="J27" s="237"/>
      <c r="K27" s="237"/>
      <c r="L27" s="10"/>
      <c r="M27" s="10"/>
      <c r="N27" s="10"/>
      <c r="O27" s="26">
        <f t="shared" si="1"/>
        <v>0</v>
      </c>
    </row>
    <row r="28" spans="1:15" ht="12.75" customHeight="1" x14ac:dyDescent="0.2">
      <c r="A28" s="47"/>
      <c r="B28" s="237"/>
      <c r="C28" s="237"/>
      <c r="D28" s="10"/>
      <c r="E28" s="10"/>
      <c r="F28" s="10"/>
      <c r="G28" s="26">
        <f t="shared" si="0"/>
        <v>0</v>
      </c>
      <c r="I28" s="47"/>
      <c r="J28" s="237"/>
      <c r="K28" s="237"/>
      <c r="L28" s="10"/>
      <c r="M28" s="10"/>
      <c r="N28" s="10"/>
      <c r="O28" s="26">
        <f t="shared" si="1"/>
        <v>0</v>
      </c>
    </row>
    <row r="29" spans="1:15" ht="12.75" customHeight="1" x14ac:dyDescent="0.2">
      <c r="A29" s="47"/>
      <c r="B29" s="237"/>
      <c r="C29" s="237"/>
      <c r="D29" s="10"/>
      <c r="E29" s="10"/>
      <c r="F29" s="10"/>
      <c r="G29" s="26">
        <f t="shared" si="0"/>
        <v>0</v>
      </c>
      <c r="I29" s="47"/>
      <c r="J29" s="237"/>
      <c r="K29" s="237"/>
      <c r="L29" s="10"/>
      <c r="M29" s="10"/>
      <c r="N29" s="10"/>
      <c r="O29" s="26">
        <f t="shared" si="1"/>
        <v>0</v>
      </c>
    </row>
    <row r="30" spans="1:15" ht="12.75" customHeight="1" x14ac:dyDescent="0.2">
      <c r="A30" s="47"/>
      <c r="B30" s="237"/>
      <c r="C30" s="237"/>
      <c r="D30" s="10"/>
      <c r="E30" s="10"/>
      <c r="F30" s="10"/>
      <c r="G30" s="26">
        <f t="shared" si="0"/>
        <v>0</v>
      </c>
      <c r="I30" s="47"/>
      <c r="J30" s="237"/>
      <c r="K30" s="237"/>
      <c r="L30" s="10"/>
      <c r="M30" s="10"/>
      <c r="N30" s="10"/>
      <c r="O30" s="26">
        <f t="shared" si="1"/>
        <v>0</v>
      </c>
    </row>
    <row r="31" spans="1:15" ht="12.75" customHeight="1" x14ac:dyDescent="0.2">
      <c r="A31" s="69"/>
      <c r="B31" s="278"/>
      <c r="C31" s="237"/>
      <c r="D31" s="28"/>
      <c r="E31" s="28"/>
      <c r="F31" s="28"/>
      <c r="G31" s="26">
        <f t="shared" si="0"/>
        <v>0</v>
      </c>
      <c r="I31" s="69"/>
      <c r="J31" s="278"/>
      <c r="K31" s="237"/>
      <c r="L31" s="28"/>
      <c r="M31" s="28"/>
      <c r="N31" s="28"/>
      <c r="O31" s="26">
        <f t="shared" si="1"/>
        <v>0</v>
      </c>
    </row>
    <row r="32" spans="1:15" ht="12.75" customHeight="1" x14ac:dyDescent="0.2">
      <c r="A32" s="69"/>
      <c r="B32" s="278"/>
      <c r="C32" s="237"/>
      <c r="D32" s="28"/>
      <c r="E32" s="28"/>
      <c r="F32" s="28"/>
      <c r="G32" s="26">
        <f t="shared" si="0"/>
        <v>0</v>
      </c>
      <c r="I32" s="69"/>
      <c r="J32" s="278"/>
      <c r="K32" s="237"/>
      <c r="L32" s="28"/>
      <c r="M32" s="28"/>
      <c r="N32" s="28"/>
      <c r="O32" s="26">
        <f t="shared" si="1"/>
        <v>0</v>
      </c>
    </row>
    <row r="33" spans="1:15" ht="12.75" customHeight="1" x14ac:dyDescent="0.2">
      <c r="A33" s="69"/>
      <c r="B33" s="57"/>
      <c r="C33" s="57"/>
      <c r="D33" s="28"/>
      <c r="E33" s="28"/>
      <c r="F33" s="28"/>
      <c r="G33" s="26">
        <f t="shared" si="0"/>
        <v>0</v>
      </c>
      <c r="I33" s="69"/>
      <c r="J33" s="57"/>
      <c r="K33" s="57"/>
      <c r="L33" s="28"/>
      <c r="M33" s="28"/>
      <c r="N33" s="28"/>
      <c r="O33" s="26">
        <f t="shared" si="1"/>
        <v>0</v>
      </c>
    </row>
    <row r="34" spans="1:15" ht="12.75" customHeight="1" x14ac:dyDescent="0.2">
      <c r="A34" s="70"/>
      <c r="B34" s="278"/>
      <c r="C34" s="278"/>
      <c r="D34" s="28"/>
      <c r="E34" s="28"/>
      <c r="F34" s="28"/>
      <c r="G34" s="26">
        <f t="shared" si="0"/>
        <v>0</v>
      </c>
      <c r="I34" s="69"/>
      <c r="J34" s="278"/>
      <c r="K34" s="278"/>
      <c r="L34" s="28"/>
      <c r="M34" s="28"/>
      <c r="N34" s="28"/>
      <c r="O34" s="26">
        <f t="shared" si="1"/>
        <v>0</v>
      </c>
    </row>
    <row r="35" spans="1:15" ht="12.75" customHeight="1" x14ac:dyDescent="0.2">
      <c r="A35" s="70"/>
      <c r="B35" s="278"/>
      <c r="C35" s="278"/>
      <c r="D35" s="112"/>
      <c r="E35" s="28"/>
      <c r="F35" s="28"/>
      <c r="G35" s="26">
        <f t="shared" si="0"/>
        <v>0</v>
      </c>
      <c r="I35" s="69"/>
      <c r="J35" s="278"/>
      <c r="K35" s="278"/>
      <c r="L35" s="112"/>
      <c r="M35" s="28"/>
      <c r="N35" s="28"/>
      <c r="O35" s="26">
        <f t="shared" si="1"/>
        <v>0</v>
      </c>
    </row>
    <row r="36" spans="1:15" ht="12.75" customHeight="1" x14ac:dyDescent="0.2">
      <c r="A36" s="70"/>
      <c r="B36" s="57"/>
      <c r="C36" s="278"/>
      <c r="D36" s="28"/>
      <c r="E36" s="28"/>
      <c r="F36" s="28"/>
      <c r="G36" s="26">
        <f t="shared" si="0"/>
        <v>0</v>
      </c>
      <c r="I36" s="69"/>
      <c r="J36" s="57"/>
      <c r="K36" s="278"/>
      <c r="L36" s="28"/>
      <c r="M36" s="28"/>
      <c r="N36" s="28"/>
      <c r="O36" s="26">
        <f t="shared" si="1"/>
        <v>0</v>
      </c>
    </row>
    <row r="37" spans="1:15" ht="12.75" customHeight="1" x14ac:dyDescent="0.2">
      <c r="A37" s="279"/>
      <c r="B37" s="278"/>
      <c r="C37" s="278"/>
      <c r="D37" s="28"/>
      <c r="E37" s="28"/>
      <c r="F37" s="28"/>
      <c r="G37" s="26">
        <f t="shared" si="0"/>
        <v>0</v>
      </c>
      <c r="I37" s="69"/>
      <c r="J37" s="278"/>
      <c r="K37" s="278"/>
      <c r="L37" s="28"/>
      <c r="M37" s="28"/>
      <c r="N37" s="28"/>
      <c r="O37" s="26">
        <f t="shared" si="1"/>
        <v>0</v>
      </c>
    </row>
    <row r="38" spans="1:15" ht="12.75" customHeight="1" x14ac:dyDescent="0.2">
      <c r="A38" s="279"/>
      <c r="B38" s="278"/>
      <c r="C38" s="278"/>
      <c r="D38" s="28"/>
      <c r="E38" s="28"/>
      <c r="F38" s="28"/>
      <c r="G38" s="26">
        <f t="shared" si="0"/>
        <v>0</v>
      </c>
      <c r="I38" s="69"/>
      <c r="J38" s="278"/>
      <c r="K38" s="278"/>
      <c r="L38" s="28"/>
      <c r="M38" s="28"/>
      <c r="N38" s="28"/>
      <c r="O38" s="26">
        <f t="shared" si="1"/>
        <v>0</v>
      </c>
    </row>
    <row r="39" spans="1:15" ht="12.75" customHeight="1" x14ac:dyDescent="0.2">
      <c r="A39" s="279"/>
      <c r="B39" s="57"/>
      <c r="C39" s="278"/>
      <c r="D39" s="28"/>
      <c r="E39" s="28"/>
      <c r="F39" s="28"/>
      <c r="G39" s="26">
        <f t="shared" si="0"/>
        <v>0</v>
      </c>
      <c r="I39" s="69"/>
      <c r="J39" s="57"/>
      <c r="K39" s="278"/>
      <c r="L39" s="28"/>
      <c r="M39" s="28"/>
      <c r="N39" s="28"/>
      <c r="O39" s="26">
        <f t="shared" si="1"/>
        <v>0</v>
      </c>
    </row>
    <row r="40" spans="1:15" ht="12.75" customHeight="1" x14ac:dyDescent="0.2">
      <c r="A40" s="279"/>
      <c r="B40" s="57"/>
      <c r="C40" s="278"/>
      <c r="D40" s="28"/>
      <c r="E40" s="28"/>
      <c r="F40" s="28"/>
      <c r="G40" s="26">
        <f t="shared" si="0"/>
        <v>0</v>
      </c>
      <c r="I40" s="69"/>
      <c r="J40" s="57"/>
      <c r="K40" s="278"/>
      <c r="L40" s="28"/>
      <c r="M40" s="28"/>
      <c r="N40" s="28"/>
      <c r="O40" s="26">
        <f t="shared" si="1"/>
        <v>0</v>
      </c>
    </row>
    <row r="41" spans="1:15" ht="12.75" customHeight="1" x14ac:dyDescent="0.2">
      <c r="A41" s="279"/>
      <c r="B41" s="57"/>
      <c r="C41" s="278"/>
      <c r="D41" s="28"/>
      <c r="E41" s="28"/>
      <c r="F41" s="28"/>
      <c r="G41" s="26">
        <f t="shared" si="0"/>
        <v>0</v>
      </c>
      <c r="I41" s="69"/>
      <c r="J41" s="57"/>
      <c r="K41" s="278"/>
      <c r="L41" s="28"/>
      <c r="M41" s="28"/>
      <c r="N41" s="28"/>
      <c r="O41" s="26">
        <f t="shared" si="1"/>
        <v>0</v>
      </c>
    </row>
    <row r="42" spans="1:15" ht="12.75" customHeight="1" thickBot="1" x14ac:dyDescent="0.25">
      <c r="A42" s="71"/>
      <c r="B42" s="32"/>
      <c r="C42" s="32"/>
      <c r="D42" s="33"/>
      <c r="E42" s="33"/>
      <c r="F42" s="33"/>
      <c r="G42" s="39">
        <f t="shared" si="0"/>
        <v>0</v>
      </c>
      <c r="I42" s="300"/>
      <c r="J42" s="32"/>
      <c r="K42" s="32"/>
      <c r="L42" s="33"/>
      <c r="M42" s="33"/>
      <c r="N42" s="33"/>
      <c r="O42" s="39">
        <f t="shared" si="1"/>
        <v>0</v>
      </c>
    </row>
    <row r="43" spans="1:15" ht="12.75" customHeight="1" thickTop="1" x14ac:dyDescent="0.2">
      <c r="A43" s="3"/>
      <c r="B43" s="4"/>
      <c r="C43" s="4"/>
      <c r="D43" s="5"/>
      <c r="E43" s="5"/>
      <c r="F43" s="5"/>
      <c r="G43" s="18"/>
      <c r="I43" s="3"/>
      <c r="J43" s="4"/>
      <c r="K43" s="4"/>
      <c r="L43" s="5"/>
      <c r="M43" s="5"/>
      <c r="N43" s="5"/>
      <c r="O43" s="18"/>
    </row>
    <row r="44" spans="1:15" ht="12.75" customHeight="1" thickBot="1" x14ac:dyDescent="0.25">
      <c r="A44" s="8" t="s">
        <v>3</v>
      </c>
      <c r="B44" s="6"/>
      <c r="C44" s="6"/>
      <c r="D44" s="13"/>
      <c r="E44" s="7"/>
      <c r="F44" s="7"/>
      <c r="G44" s="212">
        <f>G42</f>
        <v>0</v>
      </c>
      <c r="I44" s="8" t="s">
        <v>3</v>
      </c>
      <c r="J44" s="6"/>
      <c r="K44" s="6"/>
      <c r="L44" s="13"/>
      <c r="M44" s="7"/>
      <c r="N44" s="7"/>
      <c r="O44" s="212">
        <f>O42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E00-000000000000}"/>
  </hyperlinks>
  <pageMargins left="0.5" right="0.5" top="1" bottom="1" header="0.5" footer="0.5"/>
  <pageSetup scale="86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5"/>
  <dimension ref="A1:O31"/>
  <sheetViews>
    <sheetView zoomScaleNormal="100" workbookViewId="0">
      <selection activeCell="H1" sqref="H1"/>
    </sheetView>
  </sheetViews>
  <sheetFormatPr defaultRowHeight="12.75" x14ac:dyDescent="0.2"/>
  <cols>
    <col min="1" max="1" width="10.85546875" style="49" customWidth="1"/>
    <col min="2" max="2" width="9.28515625" style="49" bestFit="1" customWidth="1"/>
    <col min="3" max="3" width="29.85546875" style="49" bestFit="1" customWidth="1"/>
    <col min="4" max="4" width="14.7109375" style="49" bestFit="1" customWidth="1"/>
    <col min="5" max="5" width="5.28515625" style="49" customWidth="1"/>
    <col min="6" max="6" width="10.140625" style="49" bestFit="1" customWidth="1"/>
    <col min="7" max="7" width="16.140625" style="49" customWidth="1"/>
    <col min="8" max="8" width="9.140625" style="49"/>
    <col min="9" max="9" width="10.85546875" style="49" customWidth="1"/>
    <col min="10" max="10" width="9.28515625" style="49" bestFit="1" customWidth="1"/>
    <col min="11" max="11" width="29.85546875" style="49" bestFit="1" customWidth="1"/>
    <col min="12" max="12" width="14.7109375" style="49" bestFit="1" customWidth="1"/>
    <col min="13" max="13" width="5.28515625" style="49" customWidth="1"/>
    <col min="14" max="14" width="10.140625" style="49" bestFit="1" customWidth="1"/>
    <col min="15" max="15" width="16.140625" style="49" customWidth="1"/>
    <col min="16" max="16384" width="9.140625" style="49"/>
  </cols>
  <sheetData>
    <row r="1" spans="1:15" ht="13.5" customHeight="1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ht="13.5" customHeight="1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67</v>
      </c>
      <c r="B4" s="363"/>
      <c r="C4" s="363"/>
      <c r="D4" s="363"/>
      <c r="E4" s="363"/>
      <c r="F4" s="363"/>
      <c r="G4" s="364"/>
      <c r="I4" s="362" t="s">
        <v>67</v>
      </c>
      <c r="J4" s="363"/>
      <c r="K4" s="363"/>
      <c r="L4" s="363"/>
      <c r="M4" s="363"/>
      <c r="N4" s="363"/>
      <c r="O4" s="364"/>
    </row>
    <row r="5" spans="1:15" ht="15.75" customHeight="1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8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247"/>
      <c r="J8" s="238"/>
      <c r="K8" s="238" t="s">
        <v>74</v>
      </c>
      <c r="L8" s="248"/>
      <c r="M8" s="248"/>
      <c r="N8" s="248"/>
      <c r="O8" s="249">
        <f>L8</f>
        <v>0</v>
      </c>
    </row>
    <row r="9" spans="1:15" x14ac:dyDescent="0.2">
      <c r="A9" s="14"/>
      <c r="B9" s="63"/>
      <c r="C9" s="9"/>
      <c r="D9" s="74"/>
      <c r="E9" s="74"/>
      <c r="F9" s="75"/>
      <c r="G9" s="81">
        <f>SUM(G8+D9-E9-F9)</f>
        <v>0</v>
      </c>
      <c r="I9" s="14"/>
      <c r="J9" s="63"/>
      <c r="K9" s="9"/>
      <c r="L9" s="74"/>
      <c r="M9" s="74"/>
      <c r="N9" s="75"/>
      <c r="O9" s="81">
        <f>SUM(O8+L9-M9-N9)</f>
        <v>0</v>
      </c>
    </row>
    <row r="10" spans="1:15" x14ac:dyDescent="0.2">
      <c r="A10" s="14"/>
      <c r="B10" s="9"/>
      <c r="C10" s="63"/>
      <c r="D10" s="74"/>
      <c r="E10" s="74"/>
      <c r="F10" s="75"/>
      <c r="G10" s="81">
        <f>SUM(G9+D10-E10-F10)</f>
        <v>0</v>
      </c>
      <c r="I10" s="14"/>
      <c r="J10" s="9"/>
      <c r="K10" s="63"/>
      <c r="L10" s="74"/>
      <c r="M10" s="74"/>
      <c r="N10" s="75"/>
      <c r="O10" s="81">
        <f>SUM(O9+L10-M10-N10)</f>
        <v>0</v>
      </c>
    </row>
    <row r="11" spans="1:15" x14ac:dyDescent="0.2">
      <c r="A11" s="14"/>
      <c r="B11" s="9"/>
      <c r="C11" s="63"/>
      <c r="D11" s="74"/>
      <c r="E11" s="74"/>
      <c r="F11" s="75"/>
      <c r="G11" s="81">
        <f>SUM(G10+D11-E11-F11)</f>
        <v>0</v>
      </c>
      <c r="I11" s="14"/>
      <c r="J11" s="9"/>
      <c r="K11" s="63"/>
      <c r="L11" s="74"/>
      <c r="M11" s="74"/>
      <c r="N11" s="75"/>
      <c r="O11" s="81">
        <f>SUM(O10+L11-M11-N11)</f>
        <v>0</v>
      </c>
    </row>
    <row r="12" spans="1:15" x14ac:dyDescent="0.2">
      <c r="A12" s="14"/>
      <c r="B12" s="9"/>
      <c r="C12" s="63"/>
      <c r="D12" s="74"/>
      <c r="E12" s="74"/>
      <c r="F12" s="75"/>
      <c r="G12" s="81">
        <f t="shared" ref="G12:G28" si="0">SUM(G11+D12-E12-F12)</f>
        <v>0</v>
      </c>
      <c r="I12" s="14"/>
      <c r="J12" s="9"/>
      <c r="K12" s="63"/>
      <c r="L12" s="74"/>
      <c r="M12" s="74"/>
      <c r="N12" s="75"/>
      <c r="O12" s="81">
        <f t="shared" ref="O12:O28" si="1">SUM(O11+L12-M12-N12)</f>
        <v>0</v>
      </c>
    </row>
    <row r="13" spans="1:15" x14ac:dyDescent="0.2">
      <c r="A13" s="14"/>
      <c r="B13" s="9"/>
      <c r="C13" s="63"/>
      <c r="D13" s="74"/>
      <c r="E13" s="74"/>
      <c r="F13" s="75"/>
      <c r="G13" s="81">
        <f t="shared" si="0"/>
        <v>0</v>
      </c>
      <c r="I13" s="14"/>
      <c r="J13" s="9"/>
      <c r="K13" s="63"/>
      <c r="L13" s="74"/>
      <c r="M13" s="74"/>
      <c r="N13" s="75"/>
      <c r="O13" s="81">
        <f t="shared" si="1"/>
        <v>0</v>
      </c>
    </row>
    <row r="14" spans="1:15" x14ac:dyDescent="0.2">
      <c r="A14" s="9"/>
      <c r="B14" s="9"/>
      <c r="C14" s="9"/>
      <c r="D14" s="74"/>
      <c r="E14" s="74"/>
      <c r="F14" s="74"/>
      <c r="G14" s="81">
        <f t="shared" si="0"/>
        <v>0</v>
      </c>
      <c r="I14" s="14"/>
      <c r="J14" s="9"/>
      <c r="K14" s="9"/>
      <c r="L14" s="74"/>
      <c r="M14" s="74"/>
      <c r="N14" s="74"/>
      <c r="O14" s="81">
        <f t="shared" si="1"/>
        <v>0</v>
      </c>
    </row>
    <row r="15" spans="1:15" x14ac:dyDescent="0.2">
      <c r="A15" s="9"/>
      <c r="B15" s="9"/>
      <c r="C15" s="9"/>
      <c r="D15" s="74"/>
      <c r="E15" s="74"/>
      <c r="F15" s="74"/>
      <c r="G15" s="81">
        <f t="shared" si="0"/>
        <v>0</v>
      </c>
      <c r="I15" s="14"/>
      <c r="J15" s="9"/>
      <c r="K15" s="9"/>
      <c r="L15" s="74"/>
      <c r="M15" s="74"/>
      <c r="N15" s="74"/>
      <c r="O15" s="81">
        <f t="shared" si="1"/>
        <v>0</v>
      </c>
    </row>
    <row r="16" spans="1:15" x14ac:dyDescent="0.2">
      <c r="A16" s="9"/>
      <c r="B16" s="9"/>
      <c r="C16" s="9"/>
      <c r="D16" s="74"/>
      <c r="E16" s="74"/>
      <c r="F16" s="74"/>
      <c r="G16" s="81">
        <f t="shared" si="0"/>
        <v>0</v>
      </c>
      <c r="I16" s="14"/>
      <c r="J16" s="9"/>
      <c r="K16" s="9"/>
      <c r="L16" s="74"/>
      <c r="M16" s="74"/>
      <c r="N16" s="74"/>
      <c r="O16" s="81">
        <f t="shared" si="1"/>
        <v>0</v>
      </c>
    </row>
    <row r="17" spans="1:15" x14ac:dyDescent="0.2">
      <c r="A17" s="9"/>
      <c r="B17" s="9"/>
      <c r="C17" s="9"/>
      <c r="D17" s="74"/>
      <c r="E17" s="74"/>
      <c r="F17" s="74"/>
      <c r="G17" s="81">
        <f t="shared" si="0"/>
        <v>0</v>
      </c>
      <c r="I17" s="14"/>
      <c r="J17" s="9"/>
      <c r="K17" s="9"/>
      <c r="L17" s="74"/>
      <c r="M17" s="74"/>
      <c r="N17" s="74"/>
      <c r="O17" s="81">
        <f t="shared" si="1"/>
        <v>0</v>
      </c>
    </row>
    <row r="18" spans="1:15" x14ac:dyDescent="0.2">
      <c r="A18" s="9"/>
      <c r="B18" s="9"/>
      <c r="C18" s="9"/>
      <c r="D18" s="74"/>
      <c r="E18" s="74"/>
      <c r="F18" s="74"/>
      <c r="G18" s="81">
        <f t="shared" si="0"/>
        <v>0</v>
      </c>
      <c r="I18" s="14"/>
      <c r="J18" s="9"/>
      <c r="K18" s="9"/>
      <c r="L18" s="74"/>
      <c r="M18" s="74"/>
      <c r="N18" s="74"/>
      <c r="O18" s="81">
        <f t="shared" si="1"/>
        <v>0</v>
      </c>
    </row>
    <row r="19" spans="1:15" x14ac:dyDescent="0.2">
      <c r="A19" s="9"/>
      <c r="B19" s="9"/>
      <c r="C19" s="9"/>
      <c r="D19" s="74"/>
      <c r="E19" s="74"/>
      <c r="F19" s="74"/>
      <c r="G19" s="81">
        <f t="shared" si="0"/>
        <v>0</v>
      </c>
      <c r="I19" s="14"/>
      <c r="J19" s="9"/>
      <c r="K19" s="9"/>
      <c r="L19" s="74"/>
      <c r="M19" s="74"/>
      <c r="N19" s="74"/>
      <c r="O19" s="81">
        <f t="shared" si="1"/>
        <v>0</v>
      </c>
    </row>
    <row r="20" spans="1:15" x14ac:dyDescent="0.2">
      <c r="A20" s="9"/>
      <c r="B20" s="9"/>
      <c r="C20" s="9"/>
      <c r="D20" s="74"/>
      <c r="E20" s="74"/>
      <c r="F20" s="74"/>
      <c r="G20" s="81">
        <f t="shared" si="0"/>
        <v>0</v>
      </c>
      <c r="I20" s="14"/>
      <c r="J20" s="9"/>
      <c r="K20" s="9"/>
      <c r="L20" s="74"/>
      <c r="M20" s="74"/>
      <c r="N20" s="74"/>
      <c r="O20" s="81">
        <f t="shared" si="1"/>
        <v>0</v>
      </c>
    </row>
    <row r="21" spans="1:15" x14ac:dyDescent="0.2">
      <c r="A21" s="9"/>
      <c r="B21" s="9"/>
      <c r="C21" s="9"/>
      <c r="D21" s="74"/>
      <c r="E21" s="74"/>
      <c r="F21" s="74"/>
      <c r="G21" s="81">
        <f t="shared" si="0"/>
        <v>0</v>
      </c>
      <c r="I21" s="14"/>
      <c r="J21" s="9"/>
      <c r="K21" s="9"/>
      <c r="L21" s="74"/>
      <c r="M21" s="74"/>
      <c r="N21" s="74"/>
      <c r="O21" s="81">
        <f t="shared" si="1"/>
        <v>0</v>
      </c>
    </row>
    <row r="22" spans="1:15" x14ac:dyDescent="0.2">
      <c r="A22" s="9"/>
      <c r="B22" s="9"/>
      <c r="C22" s="9"/>
      <c r="D22" s="74"/>
      <c r="E22" s="74"/>
      <c r="F22" s="74"/>
      <c r="G22" s="81">
        <f t="shared" si="0"/>
        <v>0</v>
      </c>
      <c r="I22" s="14"/>
      <c r="J22" s="9"/>
      <c r="K22" s="9"/>
      <c r="L22" s="74"/>
      <c r="M22" s="74"/>
      <c r="N22" s="74"/>
      <c r="O22" s="81">
        <f t="shared" si="1"/>
        <v>0</v>
      </c>
    </row>
    <row r="23" spans="1:15" x14ac:dyDescent="0.2">
      <c r="A23" s="9"/>
      <c r="B23" s="9"/>
      <c r="C23" s="9"/>
      <c r="D23" s="74"/>
      <c r="E23" s="74"/>
      <c r="F23" s="74"/>
      <c r="G23" s="81">
        <f t="shared" si="0"/>
        <v>0</v>
      </c>
      <c r="I23" s="14"/>
      <c r="J23" s="9"/>
      <c r="K23" s="9"/>
      <c r="L23" s="74"/>
      <c r="M23" s="74"/>
      <c r="N23" s="74"/>
      <c r="O23" s="81">
        <f t="shared" si="1"/>
        <v>0</v>
      </c>
    </row>
    <row r="24" spans="1:15" x14ac:dyDescent="0.2">
      <c r="A24" s="9"/>
      <c r="B24" s="9"/>
      <c r="C24" s="9"/>
      <c r="D24" s="74"/>
      <c r="E24" s="74"/>
      <c r="F24" s="74"/>
      <c r="G24" s="81">
        <f t="shared" si="0"/>
        <v>0</v>
      </c>
      <c r="I24" s="14"/>
      <c r="J24" s="9"/>
      <c r="K24" s="9"/>
      <c r="L24" s="74"/>
      <c r="M24" s="74"/>
      <c r="N24" s="74"/>
      <c r="O24" s="81">
        <f t="shared" si="1"/>
        <v>0</v>
      </c>
    </row>
    <row r="25" spans="1:15" x14ac:dyDescent="0.2">
      <c r="A25" s="9"/>
      <c r="B25" s="9"/>
      <c r="C25" s="9"/>
      <c r="D25" s="74"/>
      <c r="E25" s="74"/>
      <c r="F25" s="74"/>
      <c r="G25" s="81">
        <f t="shared" si="0"/>
        <v>0</v>
      </c>
      <c r="I25" s="14"/>
      <c r="J25" s="9"/>
      <c r="K25" s="9"/>
      <c r="L25" s="74"/>
      <c r="M25" s="74"/>
      <c r="N25" s="74"/>
      <c r="O25" s="81">
        <f t="shared" si="1"/>
        <v>0</v>
      </c>
    </row>
    <row r="26" spans="1:15" x14ac:dyDescent="0.2">
      <c r="A26" s="9"/>
      <c r="B26" s="9"/>
      <c r="C26" s="9"/>
      <c r="D26" s="74"/>
      <c r="E26" s="74"/>
      <c r="F26" s="74"/>
      <c r="G26" s="81">
        <f t="shared" si="0"/>
        <v>0</v>
      </c>
      <c r="I26" s="14"/>
      <c r="J26" s="9"/>
      <c r="K26" s="9"/>
      <c r="L26" s="74"/>
      <c r="M26" s="74"/>
      <c r="N26" s="74"/>
      <c r="O26" s="81">
        <f t="shared" si="1"/>
        <v>0</v>
      </c>
    </row>
    <row r="27" spans="1:15" x14ac:dyDescent="0.2">
      <c r="A27" s="9"/>
      <c r="B27" s="9"/>
      <c r="C27" s="9"/>
      <c r="D27" s="74"/>
      <c r="E27" s="74"/>
      <c r="F27" s="74"/>
      <c r="G27" s="81">
        <f t="shared" si="0"/>
        <v>0</v>
      </c>
      <c r="I27" s="14"/>
      <c r="J27" s="9"/>
      <c r="K27" s="9"/>
      <c r="L27" s="74"/>
      <c r="M27" s="74"/>
      <c r="N27" s="74"/>
      <c r="O27" s="81">
        <f t="shared" si="1"/>
        <v>0</v>
      </c>
    </row>
    <row r="28" spans="1:15" x14ac:dyDescent="0.2">
      <c r="A28" s="9"/>
      <c r="B28" s="9"/>
      <c r="C28" s="9"/>
      <c r="D28" s="74"/>
      <c r="E28" s="74"/>
      <c r="F28" s="74"/>
      <c r="G28" s="81">
        <f t="shared" si="0"/>
        <v>0</v>
      </c>
      <c r="I28" s="14"/>
      <c r="J28" s="9"/>
      <c r="K28" s="9"/>
      <c r="L28" s="74"/>
      <c r="M28" s="74"/>
      <c r="N28" s="74"/>
      <c r="O28" s="81">
        <f t="shared" si="1"/>
        <v>0</v>
      </c>
    </row>
    <row r="29" spans="1:15" ht="13.5" thickBot="1" x14ac:dyDescent="0.25">
      <c r="A29" s="37"/>
      <c r="B29" s="37"/>
      <c r="C29" s="37"/>
      <c r="D29" s="82"/>
      <c r="E29" s="82"/>
      <c r="F29" s="82"/>
      <c r="G29" s="83">
        <f>SUM(G28+D29-E29-F29)</f>
        <v>0</v>
      </c>
      <c r="I29" s="95"/>
      <c r="J29" s="37"/>
      <c r="K29" s="37"/>
      <c r="L29" s="82"/>
      <c r="M29" s="82"/>
      <c r="N29" s="82"/>
      <c r="O29" s="83">
        <f>SUM(O28+L29-M29-N29)</f>
        <v>0</v>
      </c>
    </row>
    <row r="30" spans="1:15" ht="13.5" thickTop="1" x14ac:dyDescent="0.2">
      <c r="A30" s="40"/>
      <c r="B30" s="41"/>
      <c r="C30" s="41"/>
      <c r="D30" s="77"/>
      <c r="E30" s="77"/>
      <c r="F30" s="77"/>
      <c r="G30" s="78"/>
      <c r="I30" s="40"/>
      <c r="J30" s="41"/>
      <c r="K30" s="41"/>
      <c r="L30" s="77"/>
      <c r="M30" s="77"/>
      <c r="N30" s="77"/>
      <c r="O30" s="78"/>
    </row>
    <row r="31" spans="1:15" ht="13.5" thickBot="1" x14ac:dyDescent="0.25">
      <c r="A31" s="42" t="s">
        <v>3</v>
      </c>
      <c r="B31" s="43"/>
      <c r="C31" s="43"/>
      <c r="D31" s="76"/>
      <c r="E31" s="84"/>
      <c r="F31" s="84"/>
      <c r="G31" s="211">
        <f>G29</f>
        <v>0</v>
      </c>
      <c r="I31" s="42" t="s">
        <v>3</v>
      </c>
      <c r="J31" s="43"/>
      <c r="K31" s="43"/>
      <c r="L31" s="76"/>
      <c r="M31" s="84"/>
      <c r="N31" s="84"/>
      <c r="O31" s="211">
        <f>O29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2F00-000000000000}"/>
  </hyperlinks>
  <pageMargins left="0.7" right="0.7" top="0.75" bottom="0.75" header="0.3" footer="0.3"/>
  <pageSetup scale="9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P30"/>
  <sheetViews>
    <sheetView zoomScaleNormal="100" workbookViewId="0">
      <selection activeCell="H1" sqref="H1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1.140625" style="246" bestFit="1" customWidth="1"/>
    <col min="8" max="8" width="9.140625" style="246"/>
    <col min="9" max="9" width="10.85546875" style="246" bestFit="1" customWidth="1"/>
    <col min="10" max="10" width="12.28515625" style="246" customWidth="1"/>
    <col min="11" max="11" width="27.5703125" style="246" customWidth="1"/>
    <col min="12" max="12" width="10.28515625" style="246" bestFit="1" customWidth="1"/>
    <col min="13" max="13" width="9.140625" style="246"/>
    <col min="14" max="14" width="10.5703125" style="246" customWidth="1"/>
    <col min="15" max="15" width="10.28515625" style="246" bestFit="1" customWidth="1"/>
    <col min="16" max="16384" width="9.140625" style="246"/>
  </cols>
  <sheetData>
    <row r="1" spans="1:16" x14ac:dyDescent="0.2">
      <c r="A1" s="353" t="s">
        <v>11</v>
      </c>
      <c r="B1" s="354"/>
      <c r="C1" s="354"/>
      <c r="D1" s="354"/>
      <c r="E1" s="354"/>
      <c r="F1" s="354"/>
      <c r="G1" s="355"/>
      <c r="H1" s="301" t="s">
        <v>78</v>
      </c>
      <c r="I1" s="353" t="s">
        <v>11</v>
      </c>
      <c r="J1" s="354"/>
      <c r="K1" s="354"/>
      <c r="L1" s="354"/>
      <c r="M1" s="354"/>
      <c r="N1" s="354"/>
      <c r="O1" s="355"/>
      <c r="P1" s="309" t="s">
        <v>86</v>
      </c>
    </row>
    <row r="2" spans="1:16" x14ac:dyDescent="0.2">
      <c r="A2" s="356" t="s">
        <v>41</v>
      </c>
      <c r="B2" s="357"/>
      <c r="C2" s="357"/>
      <c r="D2" s="357"/>
      <c r="E2" s="357"/>
      <c r="F2" s="357"/>
      <c r="G2" s="358"/>
      <c r="I2" s="356" t="s">
        <v>41</v>
      </c>
      <c r="J2" s="357"/>
      <c r="K2" s="357"/>
      <c r="L2" s="357"/>
      <c r="M2" s="357"/>
      <c r="N2" s="357"/>
      <c r="O2" s="358"/>
    </row>
    <row r="3" spans="1:16" x14ac:dyDescent="0.2">
      <c r="A3" s="359"/>
      <c r="B3" s="360"/>
      <c r="C3" s="360"/>
      <c r="D3" s="360"/>
      <c r="E3" s="360"/>
      <c r="F3" s="360"/>
      <c r="G3" s="361"/>
      <c r="I3" s="359"/>
      <c r="J3" s="360"/>
      <c r="K3" s="360"/>
      <c r="L3" s="360"/>
      <c r="M3" s="360"/>
      <c r="N3" s="360"/>
      <c r="O3" s="361"/>
    </row>
    <row r="4" spans="1:16" ht="18" x14ac:dyDescent="0.2">
      <c r="A4" s="362" t="s">
        <v>85</v>
      </c>
      <c r="B4" s="363"/>
      <c r="C4" s="363"/>
      <c r="D4" s="363"/>
      <c r="E4" s="363"/>
      <c r="F4" s="363"/>
      <c r="G4" s="364"/>
      <c r="I4" s="362" t="s">
        <v>85</v>
      </c>
      <c r="J4" s="363"/>
      <c r="K4" s="363"/>
      <c r="L4" s="363"/>
      <c r="M4" s="363"/>
      <c r="N4" s="363"/>
      <c r="O4" s="364"/>
    </row>
    <row r="5" spans="1:16" ht="15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66"/>
      <c r="K5" s="366"/>
      <c r="L5" s="366"/>
      <c r="M5" s="366"/>
      <c r="N5" s="366"/>
      <c r="O5" s="367"/>
    </row>
    <row r="6" spans="1:16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6" ht="26.25" customHeight="1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6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I8" s="116"/>
      <c r="J8" s="185"/>
      <c r="K8" s="185" t="s">
        <v>74</v>
      </c>
      <c r="L8" s="186"/>
      <c r="M8" s="186"/>
      <c r="N8" s="186"/>
      <c r="O8" s="296">
        <v>93.06</v>
      </c>
    </row>
    <row r="9" spans="1:16" x14ac:dyDescent="0.2">
      <c r="A9" s="116"/>
      <c r="B9" s="185"/>
      <c r="C9" s="185"/>
      <c r="D9" s="185"/>
      <c r="E9" s="185"/>
      <c r="F9" s="186"/>
      <c r="G9" s="297">
        <f t="shared" ref="G9:G28" si="0">SUM(G8+D9-E9-F9)</f>
        <v>0</v>
      </c>
      <c r="I9" s="116"/>
      <c r="J9" s="185"/>
      <c r="K9" s="185"/>
      <c r="L9" s="185"/>
      <c r="M9" s="185"/>
      <c r="N9" s="186"/>
      <c r="O9" s="297">
        <f>O8+L9-M9-N9</f>
        <v>93.06</v>
      </c>
    </row>
    <row r="10" spans="1:16" x14ac:dyDescent="0.2">
      <c r="A10" s="116"/>
      <c r="B10" s="185"/>
      <c r="C10" s="185"/>
      <c r="D10" s="186"/>
      <c r="E10" s="186"/>
      <c r="F10" s="186"/>
      <c r="G10" s="297">
        <f t="shared" si="0"/>
        <v>0</v>
      </c>
      <c r="I10" s="116"/>
      <c r="J10" s="185"/>
      <c r="K10" s="185"/>
      <c r="L10" s="186"/>
      <c r="M10" s="186"/>
      <c r="N10" s="186"/>
      <c r="O10" s="297">
        <f t="shared" ref="O10:O11" si="1">O9+L10-M10-N10</f>
        <v>93.06</v>
      </c>
    </row>
    <row r="11" spans="1:16" x14ac:dyDescent="0.2">
      <c r="A11" s="116"/>
      <c r="B11" s="185"/>
      <c r="C11" s="185"/>
      <c r="D11" s="186"/>
      <c r="E11" s="186"/>
      <c r="F11" s="186"/>
      <c r="G11" s="297">
        <f t="shared" si="0"/>
        <v>0</v>
      </c>
      <c r="I11" s="116"/>
      <c r="J11" s="185"/>
      <c r="K11" s="185"/>
      <c r="L11" s="186"/>
      <c r="M11" s="186"/>
      <c r="N11" s="186"/>
      <c r="O11" s="297">
        <f t="shared" si="1"/>
        <v>93.06</v>
      </c>
    </row>
    <row r="12" spans="1:16" x14ac:dyDescent="0.2">
      <c r="A12" s="116"/>
      <c r="B12" s="185"/>
      <c r="C12" s="185"/>
      <c r="D12" s="186"/>
      <c r="E12" s="186"/>
      <c r="F12" s="186"/>
      <c r="G12" s="297">
        <f t="shared" si="0"/>
        <v>0</v>
      </c>
      <c r="I12" s="116"/>
      <c r="J12" s="185"/>
      <c r="K12" s="185"/>
      <c r="L12" s="186"/>
      <c r="M12" s="186"/>
      <c r="N12" s="186"/>
      <c r="O12" s="297">
        <f>O11+L26-M26-N26</f>
        <v>93.06</v>
      </c>
    </row>
    <row r="13" spans="1:16" x14ac:dyDescent="0.2">
      <c r="A13" s="116"/>
      <c r="B13" s="185"/>
      <c r="C13" s="185"/>
      <c r="D13" s="186"/>
      <c r="E13" s="186"/>
      <c r="F13" s="186"/>
      <c r="G13" s="297">
        <f t="shared" si="0"/>
        <v>0</v>
      </c>
      <c r="I13" s="116"/>
      <c r="J13" s="185"/>
      <c r="K13" s="185"/>
      <c r="L13" s="186"/>
      <c r="M13" s="186"/>
      <c r="N13" s="186"/>
      <c r="O13" s="297">
        <f t="shared" ref="O13:O25" si="2">O12+L27-M27-N27</f>
        <v>93.06</v>
      </c>
    </row>
    <row r="14" spans="1:16" x14ac:dyDescent="0.2">
      <c r="A14" s="116"/>
      <c r="B14" s="185"/>
      <c r="C14" s="185"/>
      <c r="D14" s="186"/>
      <c r="E14" s="186"/>
      <c r="F14" s="186"/>
      <c r="G14" s="297">
        <f t="shared" si="0"/>
        <v>0</v>
      </c>
      <c r="I14" s="116"/>
      <c r="J14" s="185"/>
      <c r="K14" s="185"/>
      <c r="L14" s="186"/>
      <c r="M14" s="186"/>
      <c r="N14" s="186"/>
      <c r="O14" s="297">
        <f t="shared" si="2"/>
        <v>93.06</v>
      </c>
    </row>
    <row r="15" spans="1:16" x14ac:dyDescent="0.2">
      <c r="A15" s="116"/>
      <c r="B15" s="185"/>
      <c r="C15" s="185"/>
      <c r="D15" s="186"/>
      <c r="E15" s="186"/>
      <c r="F15" s="186"/>
      <c r="G15" s="297">
        <f t="shared" si="0"/>
        <v>0</v>
      </c>
      <c r="I15" s="116"/>
      <c r="J15" s="185"/>
      <c r="K15" s="185"/>
      <c r="L15" s="186"/>
      <c r="M15" s="186"/>
      <c r="N15" s="186"/>
      <c r="O15" s="297">
        <f t="shared" si="2"/>
        <v>93.06</v>
      </c>
    </row>
    <row r="16" spans="1:16" x14ac:dyDescent="0.2">
      <c r="A16" s="116"/>
      <c r="B16" s="185"/>
      <c r="C16" s="185"/>
      <c r="D16" s="186"/>
      <c r="E16" s="186"/>
      <c r="F16" s="186"/>
      <c r="G16" s="297">
        <f t="shared" si="0"/>
        <v>0</v>
      </c>
      <c r="I16" s="116"/>
      <c r="J16" s="185"/>
      <c r="K16" s="185"/>
      <c r="L16" s="186"/>
      <c r="M16" s="186"/>
      <c r="N16" s="186"/>
      <c r="O16" s="297">
        <f t="shared" si="2"/>
        <v>93.06</v>
      </c>
    </row>
    <row r="17" spans="1:15" x14ac:dyDescent="0.2">
      <c r="A17" s="116"/>
      <c r="B17" s="185"/>
      <c r="C17" s="185"/>
      <c r="D17" s="186"/>
      <c r="E17" s="186"/>
      <c r="F17" s="186"/>
      <c r="G17" s="297">
        <f t="shared" si="0"/>
        <v>0</v>
      </c>
      <c r="I17" s="116"/>
      <c r="J17" s="185"/>
      <c r="K17" s="185"/>
      <c r="L17" s="186"/>
      <c r="M17" s="186"/>
      <c r="N17" s="186"/>
      <c r="O17" s="297">
        <f t="shared" si="2"/>
        <v>93.06</v>
      </c>
    </row>
    <row r="18" spans="1:15" x14ac:dyDescent="0.2">
      <c r="A18" s="116"/>
      <c r="B18" s="185"/>
      <c r="C18" s="185"/>
      <c r="D18" s="186"/>
      <c r="E18" s="186"/>
      <c r="F18" s="186"/>
      <c r="G18" s="297">
        <f t="shared" si="0"/>
        <v>0</v>
      </c>
      <c r="I18" s="116"/>
      <c r="J18" s="185"/>
      <c r="K18" s="185"/>
      <c r="L18" s="186"/>
      <c r="M18" s="186"/>
      <c r="N18" s="186"/>
      <c r="O18" s="297">
        <f t="shared" si="2"/>
        <v>93.06</v>
      </c>
    </row>
    <row r="19" spans="1:15" x14ac:dyDescent="0.2">
      <c r="A19" s="116"/>
      <c r="B19" s="185"/>
      <c r="C19" s="185"/>
      <c r="D19" s="186"/>
      <c r="E19" s="186"/>
      <c r="F19" s="186"/>
      <c r="G19" s="297">
        <f t="shared" si="0"/>
        <v>0</v>
      </c>
      <c r="I19" s="116"/>
      <c r="J19" s="185"/>
      <c r="K19" s="185"/>
      <c r="L19" s="186"/>
      <c r="M19" s="186"/>
      <c r="N19" s="186"/>
      <c r="O19" s="297">
        <f t="shared" si="2"/>
        <v>93.06</v>
      </c>
    </row>
    <row r="20" spans="1:15" x14ac:dyDescent="0.2">
      <c r="A20" s="116"/>
      <c r="B20" s="185"/>
      <c r="C20" s="185"/>
      <c r="D20" s="186"/>
      <c r="E20" s="186"/>
      <c r="F20" s="186"/>
      <c r="G20" s="297">
        <f t="shared" si="0"/>
        <v>0</v>
      </c>
      <c r="I20" s="116"/>
      <c r="J20" s="185"/>
      <c r="K20" s="185"/>
      <c r="L20" s="186"/>
      <c r="M20" s="186"/>
      <c r="N20" s="186"/>
      <c r="O20" s="297">
        <f t="shared" si="2"/>
        <v>93.06</v>
      </c>
    </row>
    <row r="21" spans="1:15" x14ac:dyDescent="0.2">
      <c r="A21" s="116"/>
      <c r="B21" s="185"/>
      <c r="C21" s="185"/>
      <c r="D21" s="186"/>
      <c r="E21" s="186"/>
      <c r="F21" s="186"/>
      <c r="G21" s="297">
        <f t="shared" si="0"/>
        <v>0</v>
      </c>
      <c r="I21" s="116"/>
      <c r="J21" s="185"/>
      <c r="K21" s="185"/>
      <c r="L21" s="186"/>
      <c r="M21" s="186"/>
      <c r="N21" s="186"/>
      <c r="O21" s="297">
        <f t="shared" si="2"/>
        <v>93.06</v>
      </c>
    </row>
    <row r="22" spans="1:15" x14ac:dyDescent="0.2">
      <c r="A22" s="116"/>
      <c r="B22" s="185"/>
      <c r="C22" s="185"/>
      <c r="D22" s="186"/>
      <c r="E22" s="186"/>
      <c r="F22" s="186"/>
      <c r="G22" s="297">
        <f t="shared" si="0"/>
        <v>0</v>
      </c>
      <c r="I22" s="116"/>
      <c r="J22" s="185"/>
      <c r="K22" s="185"/>
      <c r="L22" s="186"/>
      <c r="M22" s="186"/>
      <c r="N22" s="186"/>
      <c r="O22" s="297">
        <f t="shared" si="2"/>
        <v>93.06</v>
      </c>
    </row>
    <row r="23" spans="1:15" x14ac:dyDescent="0.2">
      <c r="A23" s="116"/>
      <c r="B23" s="185"/>
      <c r="C23" s="185"/>
      <c r="D23" s="185"/>
      <c r="E23" s="185"/>
      <c r="F23" s="186"/>
      <c r="G23" s="297">
        <f t="shared" si="0"/>
        <v>0</v>
      </c>
      <c r="I23" s="116"/>
      <c r="J23" s="185"/>
      <c r="K23" s="185"/>
      <c r="L23" s="186"/>
      <c r="M23" s="186"/>
      <c r="N23" s="186"/>
      <c r="O23" s="297">
        <f t="shared" si="2"/>
        <v>93.06</v>
      </c>
    </row>
    <row r="24" spans="1:15" x14ac:dyDescent="0.2">
      <c r="A24" s="116"/>
      <c r="B24" s="185"/>
      <c r="C24" s="185"/>
      <c r="D24" s="186"/>
      <c r="E24" s="186"/>
      <c r="F24" s="186"/>
      <c r="G24" s="297">
        <f t="shared" si="0"/>
        <v>0</v>
      </c>
      <c r="I24" s="116"/>
      <c r="J24" s="185"/>
      <c r="K24" s="185"/>
      <c r="L24" s="186"/>
      <c r="M24" s="186"/>
      <c r="N24" s="186"/>
      <c r="O24" s="297">
        <f t="shared" si="2"/>
        <v>93.06</v>
      </c>
    </row>
    <row r="25" spans="1:15" x14ac:dyDescent="0.2">
      <c r="A25" s="116"/>
      <c r="B25" s="185"/>
      <c r="C25" s="185"/>
      <c r="D25" s="186"/>
      <c r="E25" s="186"/>
      <c r="F25" s="186"/>
      <c r="G25" s="297">
        <f t="shared" si="0"/>
        <v>0</v>
      </c>
      <c r="I25" s="116"/>
      <c r="J25" s="185"/>
      <c r="K25" s="185"/>
      <c r="L25" s="186"/>
      <c r="M25" s="186"/>
      <c r="N25" s="186"/>
      <c r="O25" s="297">
        <f t="shared" si="2"/>
        <v>93.06</v>
      </c>
    </row>
    <row r="26" spans="1:15" x14ac:dyDescent="0.2">
      <c r="A26" s="120"/>
      <c r="B26" s="117"/>
      <c r="C26" s="117"/>
      <c r="D26" s="165"/>
      <c r="E26" s="165"/>
      <c r="F26" s="165"/>
      <c r="G26" s="298">
        <f t="shared" si="0"/>
        <v>0</v>
      </c>
      <c r="I26" s="120"/>
      <c r="J26" s="117"/>
      <c r="K26" s="117"/>
      <c r="L26" s="165"/>
      <c r="M26" s="165"/>
      <c r="N26" s="165"/>
      <c r="O26" s="297">
        <f>O25+L29-M29-N29</f>
        <v>93.06</v>
      </c>
    </row>
    <row r="27" spans="1:15" x14ac:dyDescent="0.2">
      <c r="A27" s="120"/>
      <c r="B27" s="117"/>
      <c r="C27" s="117"/>
      <c r="D27" s="165"/>
      <c r="E27" s="165"/>
      <c r="F27" s="165"/>
      <c r="G27" s="298">
        <f t="shared" si="0"/>
        <v>0</v>
      </c>
      <c r="I27" s="120"/>
      <c r="J27" s="117"/>
      <c r="K27" s="117"/>
      <c r="L27" s="165"/>
      <c r="M27" s="165"/>
      <c r="N27" s="165"/>
      <c r="O27" s="297">
        <f>O26+L30-M30-N30</f>
        <v>93.06</v>
      </c>
    </row>
    <row r="28" spans="1:15" ht="13.5" thickBot="1" x14ac:dyDescent="0.25">
      <c r="A28" s="121"/>
      <c r="B28" s="122"/>
      <c r="C28" s="122"/>
      <c r="D28" s="167"/>
      <c r="E28" s="167"/>
      <c r="F28" s="167"/>
      <c r="G28" s="168">
        <f t="shared" si="0"/>
        <v>0</v>
      </c>
      <c r="I28" s="121"/>
      <c r="J28" s="122"/>
      <c r="K28" s="122"/>
      <c r="L28" s="167"/>
      <c r="M28" s="167"/>
      <c r="N28" s="167"/>
      <c r="O28" s="168">
        <f>SUM(O27+L28-M28-N28)</f>
        <v>93.06</v>
      </c>
    </row>
    <row r="29" spans="1:15" ht="13.5" thickTop="1" x14ac:dyDescent="0.2">
      <c r="A29" s="113"/>
      <c r="B29" s="114"/>
      <c r="C29" s="114"/>
      <c r="D29" s="161"/>
      <c r="E29" s="161"/>
      <c r="F29" s="161"/>
      <c r="G29" s="162"/>
      <c r="I29" s="113"/>
      <c r="J29" s="114"/>
      <c r="K29" s="114"/>
      <c r="L29" s="161"/>
      <c r="M29" s="161"/>
      <c r="N29" s="161"/>
      <c r="O29" s="162"/>
    </row>
    <row r="30" spans="1:15" ht="13.5" thickBot="1" x14ac:dyDescent="0.25">
      <c r="A30" s="124" t="s">
        <v>3</v>
      </c>
      <c r="B30" s="125"/>
      <c r="C30" s="125"/>
      <c r="D30" s="159"/>
      <c r="E30" s="169"/>
      <c r="F30" s="169"/>
      <c r="G30" s="209">
        <f>G28</f>
        <v>0</v>
      </c>
      <c r="I30" s="124" t="s">
        <v>3</v>
      </c>
      <c r="J30" s="125"/>
      <c r="K30" s="125"/>
      <c r="L30" s="159"/>
      <c r="M30" s="169"/>
      <c r="N30" s="169"/>
      <c r="O30" s="209">
        <f>O28</f>
        <v>93.06</v>
      </c>
    </row>
  </sheetData>
  <mergeCells count="12">
    <mergeCell ref="A1:G1"/>
    <mergeCell ref="I1:O1"/>
    <mergeCell ref="A2:G2"/>
    <mergeCell ref="I2:O2"/>
    <mergeCell ref="A3:G3"/>
    <mergeCell ref="I3:O3"/>
    <mergeCell ref="A4:G4"/>
    <mergeCell ref="I4:O4"/>
    <mergeCell ref="A5:G5"/>
    <mergeCell ref="I5:O5"/>
    <mergeCell ref="A6:G6"/>
    <mergeCell ref="I6:O6"/>
  </mergeCells>
  <hyperlinks>
    <hyperlink ref="H1" location="Overall!A1" display="HOME" xr:uid="{00000000-0004-0000-3000-000000000000}"/>
    <hyperlink ref="P1" location="Overall!A1" display="Home" xr:uid="{00000000-0004-0000-3000-000001000000}"/>
  </hyperlinks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37"/>
  <sheetViews>
    <sheetView topLeftCell="D1" workbookViewId="0">
      <selection activeCell="H1" sqref="H1"/>
    </sheetView>
  </sheetViews>
  <sheetFormatPr defaultRowHeight="12.75" x14ac:dyDescent="0.2"/>
  <cols>
    <col min="1" max="1" width="10.42578125" customWidth="1"/>
    <col min="2" max="2" width="13" style="267" customWidth="1"/>
    <col min="3" max="3" width="31.140625" customWidth="1"/>
    <col min="4" max="4" width="10.42578125" customWidth="1"/>
    <col min="5" max="5" width="6" bestFit="1" customWidth="1"/>
    <col min="6" max="6" width="10.28515625" bestFit="1" customWidth="1"/>
    <col min="7" max="7" width="14.5703125" customWidth="1"/>
    <col min="9" max="9" width="10.42578125" customWidth="1"/>
    <col min="10" max="10" width="13" customWidth="1"/>
    <col min="11" max="11" width="31.140625" customWidth="1"/>
    <col min="12" max="12" width="10.42578125" customWidth="1"/>
    <col min="13" max="13" width="6" bestFit="1" customWidth="1"/>
    <col min="14" max="14" width="9.7109375" customWidth="1"/>
    <col min="15" max="15" width="14.5703125" customWidth="1"/>
  </cols>
  <sheetData>
    <row r="1" spans="1:15" ht="13.5" customHeight="1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ht="13.5" customHeight="1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44</v>
      </c>
      <c r="B4" s="363"/>
      <c r="C4" s="363"/>
      <c r="D4" s="363"/>
      <c r="E4" s="363"/>
      <c r="F4" s="363"/>
      <c r="G4" s="364"/>
      <c r="I4" s="362" t="s">
        <v>44</v>
      </c>
      <c r="J4" s="363"/>
      <c r="K4" s="363"/>
      <c r="L4" s="363"/>
      <c r="M4" s="363"/>
      <c r="N4" s="363"/>
      <c r="O4" s="364"/>
    </row>
    <row r="5" spans="1:15" ht="15.75" customHeight="1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75" t="s">
        <v>1</v>
      </c>
      <c r="B7" s="215" t="s">
        <v>12</v>
      </c>
      <c r="C7" s="176" t="s">
        <v>0</v>
      </c>
      <c r="D7" s="177" t="s">
        <v>2</v>
      </c>
      <c r="E7" s="177" t="s">
        <v>7</v>
      </c>
      <c r="F7" s="177" t="s">
        <v>5</v>
      </c>
      <c r="G7" s="178" t="s">
        <v>6</v>
      </c>
      <c r="I7" s="175" t="s">
        <v>1</v>
      </c>
      <c r="J7" s="215" t="s">
        <v>12</v>
      </c>
      <c r="K7" s="176" t="s">
        <v>0</v>
      </c>
      <c r="L7" s="177" t="s">
        <v>2</v>
      </c>
      <c r="M7" s="177" t="s">
        <v>7</v>
      </c>
      <c r="N7" s="177" t="s">
        <v>5</v>
      </c>
      <c r="O7" s="178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3880</v>
      </c>
      <c r="I8" s="247"/>
      <c r="J8" s="238"/>
      <c r="K8" s="238" t="s">
        <v>74</v>
      </c>
      <c r="L8" s="248"/>
      <c r="M8" s="248"/>
      <c r="N8" s="248"/>
      <c r="O8" s="249">
        <v>3457.53</v>
      </c>
    </row>
    <row r="9" spans="1:15" ht="25.5" x14ac:dyDescent="0.2">
      <c r="A9" s="316">
        <v>43031</v>
      </c>
      <c r="B9" s="268">
        <v>11447887</v>
      </c>
      <c r="C9" s="185" t="s">
        <v>128</v>
      </c>
      <c r="D9" s="180"/>
      <c r="E9" s="181"/>
      <c r="F9" s="182">
        <v>628.08000000000004</v>
      </c>
      <c r="G9" s="179">
        <f t="shared" ref="G9:G28" si="0">SUM(G8+D9-E9-F9)</f>
        <v>3251.92</v>
      </c>
      <c r="I9" s="316">
        <v>43186</v>
      </c>
      <c r="J9" s="268">
        <v>11590132</v>
      </c>
      <c r="K9" s="271" t="s">
        <v>275</v>
      </c>
      <c r="L9" s="180"/>
      <c r="M9" s="181"/>
      <c r="N9" s="182">
        <v>130.79</v>
      </c>
      <c r="O9" s="179">
        <f t="shared" ref="O9:O22" si="1">SUM(O8+L9-M9-N9)</f>
        <v>3326.7400000000002</v>
      </c>
    </row>
    <row r="10" spans="1:15" x14ac:dyDescent="0.2">
      <c r="A10" s="316">
        <v>43077</v>
      </c>
      <c r="B10" s="245" t="s">
        <v>105</v>
      </c>
      <c r="C10" s="185" t="s">
        <v>195</v>
      </c>
      <c r="D10" s="180"/>
      <c r="E10" s="181"/>
      <c r="F10" s="182">
        <v>140.1</v>
      </c>
      <c r="G10" s="179">
        <f t="shared" si="0"/>
        <v>3111.82</v>
      </c>
      <c r="I10" s="316">
        <v>43186</v>
      </c>
      <c r="J10" s="239" t="s">
        <v>105</v>
      </c>
      <c r="K10" s="185" t="s">
        <v>276</v>
      </c>
      <c r="L10" s="180"/>
      <c r="M10" s="181"/>
      <c r="N10" s="182">
        <v>507.84</v>
      </c>
      <c r="O10" s="179">
        <f t="shared" si="1"/>
        <v>2818.9</v>
      </c>
    </row>
    <row r="11" spans="1:15" x14ac:dyDescent="0.2">
      <c r="A11" s="316">
        <v>43077</v>
      </c>
      <c r="B11" s="245" t="s">
        <v>105</v>
      </c>
      <c r="C11" s="185" t="s">
        <v>196</v>
      </c>
      <c r="D11" s="180"/>
      <c r="E11" s="117"/>
      <c r="F11" s="180">
        <v>14.92</v>
      </c>
      <c r="G11" s="179">
        <f t="shared" si="0"/>
        <v>3096.9</v>
      </c>
      <c r="I11" s="316">
        <v>43186</v>
      </c>
      <c r="J11" s="239" t="s">
        <v>105</v>
      </c>
      <c r="K11" s="117" t="s">
        <v>277</v>
      </c>
      <c r="L11" s="180"/>
      <c r="M11" s="117"/>
      <c r="N11" s="180">
        <v>49.75</v>
      </c>
      <c r="O11" s="179">
        <f t="shared" si="1"/>
        <v>2769.15</v>
      </c>
    </row>
    <row r="12" spans="1:15" x14ac:dyDescent="0.2">
      <c r="A12" s="316">
        <v>43077</v>
      </c>
      <c r="B12" s="245" t="s">
        <v>105</v>
      </c>
      <c r="C12" s="185" t="s">
        <v>197</v>
      </c>
      <c r="D12" s="180"/>
      <c r="E12" s="117"/>
      <c r="F12" s="184">
        <v>167.96</v>
      </c>
      <c r="G12" s="179">
        <f t="shared" si="0"/>
        <v>2928.94</v>
      </c>
      <c r="I12" s="316">
        <v>43202</v>
      </c>
      <c r="J12" s="268" t="s">
        <v>105</v>
      </c>
      <c r="K12" s="185" t="s">
        <v>297</v>
      </c>
      <c r="L12" s="180"/>
      <c r="M12" s="117"/>
      <c r="N12" s="184">
        <v>335.33</v>
      </c>
      <c r="O12" s="179">
        <f t="shared" si="1"/>
        <v>2433.8200000000002</v>
      </c>
    </row>
    <row r="13" spans="1:15" x14ac:dyDescent="0.2">
      <c r="A13" s="316">
        <v>43077</v>
      </c>
      <c r="B13" s="245" t="s">
        <v>105</v>
      </c>
      <c r="C13" s="185" t="s">
        <v>197</v>
      </c>
      <c r="D13" s="180"/>
      <c r="E13" s="117"/>
      <c r="F13" s="184">
        <v>9.6</v>
      </c>
      <c r="G13" s="179">
        <f t="shared" si="0"/>
        <v>2919.34</v>
      </c>
      <c r="I13" s="316">
        <v>43202</v>
      </c>
      <c r="J13" s="245" t="s">
        <v>105</v>
      </c>
      <c r="K13" s="185" t="s">
        <v>298</v>
      </c>
      <c r="L13" s="180"/>
      <c r="M13" s="117"/>
      <c r="N13" s="184">
        <v>107</v>
      </c>
      <c r="O13" s="179">
        <f t="shared" si="1"/>
        <v>2326.8200000000002</v>
      </c>
    </row>
    <row r="14" spans="1:15" x14ac:dyDescent="0.2">
      <c r="A14" s="316">
        <v>43077</v>
      </c>
      <c r="B14" s="239" t="s">
        <v>105</v>
      </c>
      <c r="C14" s="117" t="s">
        <v>199</v>
      </c>
      <c r="D14" s="180"/>
      <c r="E14" s="181"/>
      <c r="F14" s="182">
        <v>75</v>
      </c>
      <c r="G14" s="179">
        <f t="shared" si="0"/>
        <v>2844.34</v>
      </c>
      <c r="I14" s="316">
        <v>43209</v>
      </c>
      <c r="J14" s="239">
        <v>11610904</v>
      </c>
      <c r="K14" s="185" t="s">
        <v>299</v>
      </c>
      <c r="L14" s="180"/>
      <c r="M14" s="181"/>
      <c r="N14" s="182">
        <v>213.1</v>
      </c>
      <c r="O14" s="179">
        <f t="shared" si="1"/>
        <v>2113.7200000000003</v>
      </c>
    </row>
    <row r="15" spans="1:15" x14ac:dyDescent="0.2">
      <c r="A15" s="316">
        <v>43081</v>
      </c>
      <c r="B15" s="239">
        <v>11511692</v>
      </c>
      <c r="C15" s="117" t="s">
        <v>201</v>
      </c>
      <c r="D15" s="180"/>
      <c r="E15" s="181"/>
      <c r="F15" s="182">
        <v>60</v>
      </c>
      <c r="G15" s="179">
        <f t="shared" si="0"/>
        <v>2784.34</v>
      </c>
      <c r="I15" s="316">
        <v>43209</v>
      </c>
      <c r="J15" s="239">
        <v>11610904</v>
      </c>
      <c r="K15" s="185" t="s">
        <v>299</v>
      </c>
      <c r="L15" s="180"/>
      <c r="M15" s="181"/>
      <c r="N15" s="182">
        <v>6.35</v>
      </c>
      <c r="O15" s="179">
        <f t="shared" si="1"/>
        <v>2107.3700000000003</v>
      </c>
    </row>
    <row r="16" spans="1:15" x14ac:dyDescent="0.2">
      <c r="A16" s="316">
        <v>43080</v>
      </c>
      <c r="B16" s="239" t="s">
        <v>203</v>
      </c>
      <c r="C16" s="117" t="s">
        <v>202</v>
      </c>
      <c r="D16" s="180"/>
      <c r="E16" s="181"/>
      <c r="F16" s="182">
        <f>392.41+392.41+438.4+346.4</f>
        <v>1569.62</v>
      </c>
      <c r="G16" s="179">
        <f t="shared" si="0"/>
        <v>1214.7200000000003</v>
      </c>
      <c r="I16" s="316">
        <v>43215</v>
      </c>
      <c r="J16" s="245" t="s">
        <v>105</v>
      </c>
      <c r="K16" s="185" t="s">
        <v>327</v>
      </c>
      <c r="L16" s="180"/>
      <c r="M16" s="181"/>
      <c r="N16" s="182">
        <v>33.950000000000003</v>
      </c>
      <c r="O16" s="179">
        <f t="shared" si="1"/>
        <v>2073.4200000000005</v>
      </c>
    </row>
    <row r="17" spans="1:15" x14ac:dyDescent="0.2">
      <c r="A17" s="316">
        <v>43083</v>
      </c>
      <c r="B17" s="245" t="s">
        <v>105</v>
      </c>
      <c r="C17" s="117" t="s">
        <v>206</v>
      </c>
      <c r="D17" s="180"/>
      <c r="E17" s="181"/>
      <c r="F17" s="182">
        <v>576.55999999999995</v>
      </c>
      <c r="G17" s="179">
        <f t="shared" si="0"/>
        <v>638.16000000000031</v>
      </c>
      <c r="I17" s="316">
        <v>43215</v>
      </c>
      <c r="J17" s="245" t="s">
        <v>105</v>
      </c>
      <c r="K17" s="185" t="s">
        <v>326</v>
      </c>
      <c r="L17" s="180"/>
      <c r="M17" s="181"/>
      <c r="N17" s="182">
        <v>21.38</v>
      </c>
      <c r="O17" s="179">
        <f t="shared" si="1"/>
        <v>2052.0400000000004</v>
      </c>
    </row>
    <row r="18" spans="1:15" x14ac:dyDescent="0.2">
      <c r="A18" s="316">
        <v>43083</v>
      </c>
      <c r="B18" s="245" t="s">
        <v>105</v>
      </c>
      <c r="C18" s="117" t="s">
        <v>207</v>
      </c>
      <c r="D18" s="180"/>
      <c r="E18" s="181"/>
      <c r="F18" s="182">
        <v>132.65</v>
      </c>
      <c r="G18" s="179">
        <f t="shared" si="0"/>
        <v>505.51000000000033</v>
      </c>
      <c r="I18" s="316">
        <v>43215</v>
      </c>
      <c r="J18" s="245" t="s">
        <v>105</v>
      </c>
      <c r="K18" s="185" t="s">
        <v>328</v>
      </c>
      <c r="L18" s="180"/>
      <c r="M18" s="181"/>
      <c r="N18" s="182">
        <v>80.989999999999995</v>
      </c>
      <c r="O18" s="179">
        <f t="shared" si="1"/>
        <v>1971.0500000000004</v>
      </c>
    </row>
    <row r="19" spans="1:15" x14ac:dyDescent="0.2">
      <c r="A19" s="316">
        <v>43083</v>
      </c>
      <c r="B19" s="239" t="s">
        <v>105</v>
      </c>
      <c r="C19" s="117" t="s">
        <v>208</v>
      </c>
      <c r="D19" s="180"/>
      <c r="E19" s="181"/>
      <c r="F19" s="182">
        <v>52.09</v>
      </c>
      <c r="G19" s="179">
        <f t="shared" si="0"/>
        <v>453.4200000000003</v>
      </c>
      <c r="I19" s="316">
        <v>43212</v>
      </c>
      <c r="J19" s="239">
        <v>11619068</v>
      </c>
      <c r="K19" s="117" t="s">
        <v>338</v>
      </c>
      <c r="L19" s="180"/>
      <c r="M19" s="181"/>
      <c r="N19" s="182">
        <v>179.2</v>
      </c>
      <c r="O19" s="179">
        <f t="shared" si="1"/>
        <v>1791.8500000000004</v>
      </c>
    </row>
    <row r="20" spans="1:15" ht="25.5" x14ac:dyDescent="0.2">
      <c r="A20" s="316"/>
      <c r="B20" s="239"/>
      <c r="C20" s="117"/>
      <c r="D20" s="180"/>
      <c r="E20" s="181"/>
      <c r="F20" s="182"/>
      <c r="G20" s="179">
        <f t="shared" si="0"/>
        <v>453.4200000000003</v>
      </c>
      <c r="I20" s="316">
        <v>43231</v>
      </c>
      <c r="J20" s="245" t="s">
        <v>103</v>
      </c>
      <c r="K20" s="272" t="s">
        <v>360</v>
      </c>
      <c r="L20" s="180"/>
      <c r="M20" s="181"/>
      <c r="N20" s="182">
        <f>179.2+343.44+343.44</f>
        <v>866.07999999999993</v>
      </c>
      <c r="O20" s="179">
        <f t="shared" si="1"/>
        <v>925.77000000000044</v>
      </c>
    </row>
    <row r="21" spans="1:15" ht="12" customHeight="1" x14ac:dyDescent="0.2">
      <c r="A21" s="316"/>
      <c r="B21" s="239"/>
      <c r="C21" s="117"/>
      <c r="D21" s="180"/>
      <c r="E21" s="181"/>
      <c r="F21" s="182"/>
      <c r="G21" s="179">
        <f t="shared" si="0"/>
        <v>453.4200000000003</v>
      </c>
      <c r="I21" s="316">
        <v>43222</v>
      </c>
      <c r="J21" s="239" t="s">
        <v>105</v>
      </c>
      <c r="K21" s="117" t="s">
        <v>353</v>
      </c>
      <c r="L21" s="180"/>
      <c r="M21" s="181"/>
      <c r="N21" s="182">
        <v>9.82</v>
      </c>
      <c r="O21" s="179">
        <f t="shared" si="1"/>
        <v>915.95000000000039</v>
      </c>
    </row>
    <row r="22" spans="1:15" x14ac:dyDescent="0.2">
      <c r="A22" s="316"/>
      <c r="B22" s="239"/>
      <c r="C22" s="117"/>
      <c r="D22" s="180"/>
      <c r="E22" s="181"/>
      <c r="F22" s="182"/>
      <c r="G22" s="179">
        <f t="shared" si="0"/>
        <v>453.4200000000003</v>
      </c>
      <c r="I22" s="316">
        <v>43222</v>
      </c>
      <c r="J22" s="239" t="s">
        <v>105</v>
      </c>
      <c r="K22" s="117" t="s">
        <v>354</v>
      </c>
      <c r="L22" s="180"/>
      <c r="M22" s="181"/>
      <c r="N22" s="182">
        <v>223</v>
      </c>
      <c r="O22" s="179">
        <f t="shared" si="1"/>
        <v>692.95000000000039</v>
      </c>
    </row>
    <row r="23" spans="1:15" x14ac:dyDescent="0.2">
      <c r="A23" s="316"/>
      <c r="B23" s="239"/>
      <c r="C23" s="117"/>
      <c r="D23" s="180"/>
      <c r="E23" s="181"/>
      <c r="F23" s="182"/>
      <c r="G23" s="179">
        <f>SUM(G22+D23-E23-F23)</f>
        <v>453.4200000000003</v>
      </c>
      <c r="I23" s="316">
        <v>43222</v>
      </c>
      <c r="J23" s="239" t="s">
        <v>105</v>
      </c>
      <c r="K23" s="117" t="s">
        <v>355</v>
      </c>
      <c r="L23" s="180"/>
      <c r="M23" s="181"/>
      <c r="N23" s="182">
        <v>47.51</v>
      </c>
      <c r="O23" s="179">
        <f>SUM(O22+L23-M23-N23)</f>
        <v>645.4400000000004</v>
      </c>
    </row>
    <row r="24" spans="1:15" x14ac:dyDescent="0.2">
      <c r="A24" s="316"/>
      <c r="B24" s="239"/>
      <c r="C24" s="117"/>
      <c r="D24" s="180"/>
      <c r="E24" s="181"/>
      <c r="F24" s="182"/>
      <c r="G24" s="179">
        <f t="shared" si="0"/>
        <v>453.4200000000003</v>
      </c>
      <c r="I24" s="316">
        <v>43222</v>
      </c>
      <c r="J24" s="239" t="s">
        <v>105</v>
      </c>
      <c r="K24" s="117" t="s">
        <v>356</v>
      </c>
      <c r="L24" s="180"/>
      <c r="M24" s="181"/>
      <c r="N24" s="182">
        <v>47.9</v>
      </c>
      <c r="O24" s="179">
        <f t="shared" ref="O24:O28" si="2">SUM(O23+L24-M24-N24)</f>
        <v>597.54000000000042</v>
      </c>
    </row>
    <row r="25" spans="1:15" x14ac:dyDescent="0.2">
      <c r="A25" s="330"/>
      <c r="B25" s="239"/>
      <c r="C25" s="117"/>
      <c r="D25" s="181"/>
      <c r="E25" s="181"/>
      <c r="F25" s="181"/>
      <c r="G25" s="179">
        <f t="shared" si="0"/>
        <v>453.4200000000003</v>
      </c>
      <c r="I25" s="316">
        <v>43222</v>
      </c>
      <c r="J25" s="239" t="s">
        <v>105</v>
      </c>
      <c r="K25" s="117" t="s">
        <v>357</v>
      </c>
      <c r="L25" s="181"/>
      <c r="M25" s="181"/>
      <c r="N25" s="181">
        <f>3.12+19.94+91.96+14.4+100.89+50.99</f>
        <v>281.3</v>
      </c>
      <c r="O25" s="179">
        <f t="shared" si="2"/>
        <v>316.24000000000041</v>
      </c>
    </row>
    <row r="26" spans="1:15" x14ac:dyDescent="0.2">
      <c r="A26" s="331"/>
      <c r="B26" s="239"/>
      <c r="C26" s="117"/>
      <c r="D26" s="181"/>
      <c r="E26" s="181"/>
      <c r="F26" s="181"/>
      <c r="G26" s="179">
        <f t="shared" si="0"/>
        <v>453.4200000000003</v>
      </c>
      <c r="I26" s="316" t="s">
        <v>114</v>
      </c>
      <c r="J26" s="239" t="s">
        <v>114</v>
      </c>
      <c r="K26" s="117" t="s">
        <v>114</v>
      </c>
      <c r="L26" s="181"/>
      <c r="M26" s="181"/>
      <c r="N26" s="181"/>
      <c r="O26" s="179">
        <f t="shared" si="2"/>
        <v>316.24000000000041</v>
      </c>
    </row>
    <row r="27" spans="1:15" x14ac:dyDescent="0.2">
      <c r="A27" s="330"/>
      <c r="B27" s="240"/>
      <c r="C27" s="117"/>
      <c r="D27" s="181"/>
      <c r="E27" s="181"/>
      <c r="F27" s="181"/>
      <c r="G27" s="179">
        <f t="shared" si="0"/>
        <v>453.4200000000003</v>
      </c>
      <c r="I27" s="316"/>
      <c r="J27" s="240"/>
      <c r="K27" s="117"/>
      <c r="L27" s="181"/>
      <c r="M27" s="181"/>
      <c r="N27" s="181"/>
      <c r="O27" s="179">
        <f t="shared" si="2"/>
        <v>316.24000000000041</v>
      </c>
    </row>
    <row r="28" spans="1:15" ht="13.5" thickBot="1" x14ac:dyDescent="0.25">
      <c r="A28" s="330"/>
      <c r="B28" s="253"/>
      <c r="C28" s="189"/>
      <c r="D28" s="190"/>
      <c r="E28" s="190"/>
      <c r="F28" s="190"/>
      <c r="G28" s="179">
        <f t="shared" si="0"/>
        <v>453.4200000000003</v>
      </c>
      <c r="I28" s="316"/>
      <c r="J28" s="253"/>
      <c r="K28" s="189"/>
      <c r="L28" s="190"/>
      <c r="M28" s="190"/>
      <c r="N28" s="190"/>
      <c r="O28" s="179">
        <f t="shared" si="2"/>
        <v>316.24000000000041</v>
      </c>
    </row>
    <row r="29" spans="1:15" x14ac:dyDescent="0.2">
      <c r="A29" s="191"/>
      <c r="B29" s="266"/>
      <c r="C29" s="192"/>
      <c r="D29" s="192"/>
      <c r="E29" s="192"/>
      <c r="F29" s="192"/>
      <c r="G29" s="193"/>
      <c r="I29" s="191"/>
      <c r="J29" s="266"/>
      <c r="K29" s="192"/>
      <c r="L29" s="192"/>
      <c r="M29" s="192"/>
      <c r="N29" s="192"/>
      <c r="O29" s="193"/>
    </row>
    <row r="30" spans="1:15" ht="13.5" thickBot="1" x14ac:dyDescent="0.25">
      <c r="A30" s="194" t="s">
        <v>3</v>
      </c>
      <c r="B30" s="241"/>
      <c r="C30" s="244"/>
      <c r="D30" s="196"/>
      <c r="E30" s="197"/>
      <c r="F30" s="197"/>
      <c r="G30" s="210">
        <f>G28</f>
        <v>453.4200000000003</v>
      </c>
      <c r="I30" s="194" t="s">
        <v>3</v>
      </c>
      <c r="J30" s="241"/>
      <c r="K30" s="244"/>
      <c r="L30" s="196"/>
      <c r="M30" s="197"/>
      <c r="N30" s="197"/>
      <c r="O30" s="210">
        <f>O28</f>
        <v>316.24000000000041</v>
      </c>
    </row>
    <row r="34" spans="6:8" x14ac:dyDescent="0.2">
      <c r="F34" s="65" t="s">
        <v>114</v>
      </c>
    </row>
    <row r="36" spans="6:8" x14ac:dyDescent="0.2">
      <c r="G36">
        <f>11.75+11.75+11.75+21.98+12.99+12.99+12.99+12.99+12.99+59.99+59.99+59.99+21.98+21.98</f>
        <v>346.11</v>
      </c>
    </row>
    <row r="37" spans="6:8" x14ac:dyDescent="0.2">
      <c r="H37">
        <f>346.11-310.86</f>
        <v>35.25</v>
      </c>
    </row>
  </sheetData>
  <mergeCells count="12">
    <mergeCell ref="I6:O6"/>
    <mergeCell ref="A1:G1"/>
    <mergeCell ref="A2:G2"/>
    <mergeCell ref="A3:G3"/>
    <mergeCell ref="A4:G4"/>
    <mergeCell ref="A6:G6"/>
    <mergeCell ref="A5:G5"/>
    <mergeCell ref="I1:O1"/>
    <mergeCell ref="I2:O2"/>
    <mergeCell ref="I3:O3"/>
    <mergeCell ref="I4:O4"/>
    <mergeCell ref="I5:O5"/>
  </mergeCells>
  <hyperlinks>
    <hyperlink ref="H1" location="Overall!A1" display="HOME" xr:uid="{00000000-0004-0000-0400-000000000000}"/>
  </hyperlink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29"/>
  <sheetViews>
    <sheetView topLeftCell="G1" zoomScaleNormal="100" workbookViewId="0">
      <selection activeCell="I10" sqref="I10:K10"/>
    </sheetView>
  </sheetViews>
  <sheetFormatPr defaultRowHeight="12.75" x14ac:dyDescent="0.2"/>
  <cols>
    <col min="1" max="1" width="10.85546875" style="49" customWidth="1"/>
    <col min="2" max="2" width="9.28515625" style="49" bestFit="1" customWidth="1"/>
    <col min="3" max="3" width="28.28515625" style="49" customWidth="1"/>
    <col min="4" max="4" width="14.7109375" style="49" bestFit="1" customWidth="1"/>
    <col min="5" max="5" width="5.28515625" style="49" customWidth="1"/>
    <col min="6" max="6" width="10.140625" style="49" bestFit="1" customWidth="1"/>
    <col min="7" max="7" width="16.140625" style="49" customWidth="1"/>
    <col min="8" max="8" width="9.140625" style="49"/>
    <col min="9" max="9" width="10.85546875" style="49" customWidth="1"/>
    <col min="10" max="10" width="9.28515625" style="49" bestFit="1" customWidth="1"/>
    <col min="11" max="11" width="28.28515625" style="49" customWidth="1"/>
    <col min="12" max="12" width="14.7109375" style="49" bestFit="1" customWidth="1"/>
    <col min="13" max="13" width="5.28515625" style="49" customWidth="1"/>
    <col min="14" max="14" width="10.140625" style="49" bestFit="1" customWidth="1"/>
    <col min="15" max="15" width="16.140625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71</v>
      </c>
      <c r="B4" s="363"/>
      <c r="C4" s="363"/>
      <c r="D4" s="363"/>
      <c r="E4" s="363"/>
      <c r="F4" s="363"/>
      <c r="G4" s="364"/>
      <c r="H4" s="282"/>
      <c r="I4" s="362" t="s">
        <v>71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8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1078</v>
      </c>
      <c r="I8" s="247"/>
      <c r="J8" s="238"/>
      <c r="K8" s="238" t="s">
        <v>74</v>
      </c>
      <c r="L8" s="248"/>
      <c r="M8" s="248"/>
      <c r="N8" s="248"/>
      <c r="O8" s="249">
        <v>1413.03</v>
      </c>
    </row>
    <row r="9" spans="1:15" x14ac:dyDescent="0.2">
      <c r="A9" s="14">
        <v>43031</v>
      </c>
      <c r="B9" s="9" t="s">
        <v>138</v>
      </c>
      <c r="C9" s="63" t="s">
        <v>139</v>
      </c>
      <c r="D9" s="74"/>
      <c r="E9" s="74"/>
      <c r="F9" s="75">
        <f>55-8.25</f>
        <v>46.75</v>
      </c>
      <c r="G9" s="81">
        <f>SUM(G8+D9-E9-F9)</f>
        <v>1031.25</v>
      </c>
      <c r="I9" s="14">
        <v>43136</v>
      </c>
      <c r="J9" s="9" t="s">
        <v>235</v>
      </c>
      <c r="K9" s="9" t="s">
        <v>236</v>
      </c>
      <c r="L9" s="151"/>
      <c r="M9" s="74"/>
      <c r="N9" s="75">
        <v>42.75</v>
      </c>
      <c r="O9" s="81">
        <f>SUM(O8+L9-M9-N9)</f>
        <v>1370.28</v>
      </c>
    </row>
    <row r="10" spans="1:15" x14ac:dyDescent="0.2">
      <c r="A10" s="14">
        <v>43045</v>
      </c>
      <c r="B10" s="63" t="s">
        <v>183</v>
      </c>
      <c r="C10" s="63" t="s">
        <v>184</v>
      </c>
      <c r="D10" s="74"/>
      <c r="E10" s="74"/>
      <c r="F10" s="75">
        <f>119.8+10.18-17.97</f>
        <v>112.00999999999999</v>
      </c>
      <c r="G10" s="81">
        <f>SUM(G9+D10-E10-F10)</f>
        <v>919.24</v>
      </c>
      <c r="I10" s="69">
        <v>43213</v>
      </c>
      <c r="J10" s="9" t="s">
        <v>335</v>
      </c>
      <c r="K10" s="9" t="s">
        <v>336</v>
      </c>
      <c r="L10" s="74"/>
      <c r="M10" s="74"/>
      <c r="N10" s="75">
        <v>125.38</v>
      </c>
      <c r="O10" s="81">
        <f>SUM(O9+L10-M10-N10)</f>
        <v>1244.9000000000001</v>
      </c>
    </row>
    <row r="11" spans="1:15" x14ac:dyDescent="0.2">
      <c r="A11" s="14"/>
      <c r="B11" s="63"/>
      <c r="C11" s="9"/>
      <c r="D11" s="74"/>
      <c r="E11" s="74"/>
      <c r="F11" s="75"/>
      <c r="G11" s="81">
        <f>SUM(G10+D11-E11-F11)</f>
        <v>919.24</v>
      </c>
      <c r="I11" s="14"/>
      <c r="J11" s="9"/>
      <c r="K11" s="63"/>
      <c r="L11" s="74"/>
      <c r="M11" s="74"/>
      <c r="N11" s="75"/>
      <c r="O11" s="81">
        <f>SUM(O10+L11-M11-N11)</f>
        <v>1244.9000000000001</v>
      </c>
    </row>
    <row r="12" spans="1:15" x14ac:dyDescent="0.2">
      <c r="A12" s="14"/>
      <c r="B12" s="9"/>
      <c r="C12" s="63"/>
      <c r="D12" s="74"/>
      <c r="E12" s="74"/>
      <c r="F12" s="75"/>
      <c r="G12" s="81">
        <f t="shared" ref="G12:G26" si="0">SUM(G11+D12-E12-F12)</f>
        <v>919.24</v>
      </c>
      <c r="I12" s="14"/>
      <c r="J12" s="9"/>
      <c r="K12" s="63"/>
      <c r="L12" s="74"/>
      <c r="M12" s="74"/>
      <c r="N12" s="75"/>
      <c r="O12" s="81">
        <f t="shared" ref="O12:O20" si="1">SUM(O11+L12-M12-N12)</f>
        <v>1244.9000000000001</v>
      </c>
    </row>
    <row r="13" spans="1:15" x14ac:dyDescent="0.2">
      <c r="A13" s="14"/>
      <c r="B13" s="9"/>
      <c r="C13" s="63"/>
      <c r="D13" s="74"/>
      <c r="E13" s="74"/>
      <c r="F13" s="75"/>
      <c r="G13" s="81">
        <f t="shared" si="0"/>
        <v>919.24</v>
      </c>
      <c r="I13" s="14"/>
      <c r="J13" s="9"/>
      <c r="K13" s="63"/>
      <c r="L13" s="74"/>
      <c r="M13" s="74"/>
      <c r="N13" s="75"/>
      <c r="O13" s="81">
        <f t="shared" si="1"/>
        <v>1244.9000000000001</v>
      </c>
    </row>
    <row r="14" spans="1:15" x14ac:dyDescent="0.2">
      <c r="A14" s="14"/>
      <c r="B14" s="63"/>
      <c r="C14" s="63"/>
      <c r="D14" s="74"/>
      <c r="E14" s="74"/>
      <c r="F14" s="75"/>
      <c r="G14" s="81">
        <f t="shared" si="0"/>
        <v>919.24</v>
      </c>
      <c r="I14" s="14"/>
      <c r="J14" s="63"/>
      <c r="K14" s="63"/>
      <c r="L14" s="74"/>
      <c r="M14" s="74"/>
      <c r="N14" s="75"/>
      <c r="O14" s="81">
        <f t="shared" si="1"/>
        <v>1244.9000000000001</v>
      </c>
    </row>
    <row r="15" spans="1:15" x14ac:dyDescent="0.2">
      <c r="A15" s="14"/>
      <c r="B15" s="9"/>
      <c r="C15" s="63"/>
      <c r="D15" s="74"/>
      <c r="E15" s="74"/>
      <c r="F15" s="75"/>
      <c r="G15" s="81">
        <f t="shared" si="0"/>
        <v>919.24</v>
      </c>
      <c r="I15" s="14"/>
      <c r="J15" s="63"/>
      <c r="K15" s="63"/>
      <c r="L15" s="74"/>
      <c r="M15" s="74"/>
      <c r="N15" s="75"/>
      <c r="O15" s="81">
        <f t="shared" si="1"/>
        <v>1244.9000000000001</v>
      </c>
    </row>
    <row r="16" spans="1:15" x14ac:dyDescent="0.2">
      <c r="A16" s="14"/>
      <c r="B16" s="9"/>
      <c r="C16" s="63"/>
      <c r="D16" s="74"/>
      <c r="E16" s="74"/>
      <c r="F16" s="75"/>
      <c r="G16" s="81">
        <f t="shared" si="0"/>
        <v>919.24</v>
      </c>
      <c r="I16" s="14"/>
      <c r="J16" s="9"/>
      <c r="K16" s="63"/>
      <c r="L16" s="74"/>
      <c r="M16" s="74"/>
      <c r="N16" s="75"/>
      <c r="O16" s="81">
        <f t="shared" si="1"/>
        <v>1244.9000000000001</v>
      </c>
    </row>
    <row r="17" spans="1:15" x14ac:dyDescent="0.2">
      <c r="A17" s="14"/>
      <c r="B17" s="9"/>
      <c r="C17" s="58"/>
      <c r="D17" s="74"/>
      <c r="E17" s="74"/>
      <c r="F17" s="75"/>
      <c r="G17" s="81">
        <f t="shared" si="0"/>
        <v>919.24</v>
      </c>
      <c r="I17" s="14"/>
      <c r="J17" s="9"/>
      <c r="K17" s="58"/>
      <c r="L17" s="74"/>
      <c r="M17" s="74"/>
      <c r="N17" s="75"/>
      <c r="O17" s="81">
        <f t="shared" si="1"/>
        <v>1244.9000000000001</v>
      </c>
    </row>
    <row r="18" spans="1:15" x14ac:dyDescent="0.2">
      <c r="A18" s="9"/>
      <c r="B18" s="9"/>
      <c r="C18" s="9"/>
      <c r="D18" s="74"/>
      <c r="E18" s="74"/>
      <c r="F18" s="74"/>
      <c r="G18" s="81">
        <f t="shared" si="0"/>
        <v>919.24</v>
      </c>
      <c r="I18" s="14"/>
      <c r="J18" s="9"/>
      <c r="K18" s="9"/>
      <c r="L18" s="74"/>
      <c r="M18" s="74"/>
      <c r="N18" s="74"/>
      <c r="O18" s="81">
        <f t="shared" si="1"/>
        <v>1244.9000000000001</v>
      </c>
    </row>
    <row r="19" spans="1:15" x14ac:dyDescent="0.2">
      <c r="A19" s="9"/>
      <c r="B19" s="9"/>
      <c r="C19" s="9"/>
      <c r="D19" s="74"/>
      <c r="E19" s="74"/>
      <c r="F19" s="74"/>
      <c r="G19" s="81">
        <f t="shared" si="0"/>
        <v>919.24</v>
      </c>
      <c r="I19" s="14"/>
      <c r="J19" s="9"/>
      <c r="K19" s="9"/>
      <c r="L19" s="74"/>
      <c r="M19" s="74"/>
      <c r="N19" s="74"/>
      <c r="O19" s="81">
        <f t="shared" si="1"/>
        <v>1244.9000000000001</v>
      </c>
    </row>
    <row r="20" spans="1:15" x14ac:dyDescent="0.2">
      <c r="A20" s="9"/>
      <c r="B20" s="9"/>
      <c r="C20" s="9"/>
      <c r="D20" s="74"/>
      <c r="E20" s="74"/>
      <c r="F20" s="74"/>
      <c r="G20" s="81">
        <f t="shared" si="0"/>
        <v>919.24</v>
      </c>
      <c r="I20" s="14"/>
      <c r="J20" s="9"/>
      <c r="K20" s="9"/>
      <c r="L20" s="74"/>
      <c r="M20" s="74"/>
      <c r="N20" s="74"/>
      <c r="O20" s="81">
        <f t="shared" si="1"/>
        <v>1244.9000000000001</v>
      </c>
    </row>
    <row r="21" spans="1:15" x14ac:dyDescent="0.2">
      <c r="A21" s="9"/>
      <c r="B21" s="9"/>
      <c r="C21" s="9"/>
      <c r="D21" s="74"/>
      <c r="E21" s="74"/>
      <c r="F21" s="74"/>
      <c r="G21" s="81">
        <f t="shared" si="0"/>
        <v>919.24</v>
      </c>
      <c r="I21" s="14"/>
      <c r="J21" s="9"/>
      <c r="K21" s="9"/>
      <c r="L21" s="74"/>
      <c r="M21" s="74"/>
      <c r="N21" s="74"/>
      <c r="O21" s="81">
        <f t="shared" ref="O21:O26" si="2">SUM(O20+L21-M21-N21)</f>
        <v>1244.9000000000001</v>
      </c>
    </row>
    <row r="22" spans="1:15" x14ac:dyDescent="0.2">
      <c r="A22" s="9"/>
      <c r="B22" s="9"/>
      <c r="C22" s="9"/>
      <c r="D22" s="74"/>
      <c r="E22" s="74"/>
      <c r="F22" s="74"/>
      <c r="G22" s="81">
        <f t="shared" si="0"/>
        <v>919.24</v>
      </c>
      <c r="I22" s="14"/>
      <c r="J22" s="9"/>
      <c r="K22" s="9"/>
      <c r="L22" s="74"/>
      <c r="M22" s="74"/>
      <c r="N22" s="74"/>
      <c r="O22" s="81">
        <f t="shared" si="2"/>
        <v>1244.9000000000001</v>
      </c>
    </row>
    <row r="23" spans="1:15" x14ac:dyDescent="0.2">
      <c r="A23" s="9"/>
      <c r="B23" s="9"/>
      <c r="C23" s="9"/>
      <c r="D23" s="74"/>
      <c r="E23" s="74"/>
      <c r="F23" s="74"/>
      <c r="G23" s="81">
        <f t="shared" si="0"/>
        <v>919.24</v>
      </c>
      <c r="I23" s="14"/>
      <c r="J23" s="9"/>
      <c r="K23" s="9"/>
      <c r="L23" s="74"/>
      <c r="M23" s="74"/>
      <c r="N23" s="74"/>
      <c r="O23" s="81">
        <f t="shared" si="2"/>
        <v>1244.9000000000001</v>
      </c>
    </row>
    <row r="24" spans="1:15" x14ac:dyDescent="0.2">
      <c r="A24" s="9"/>
      <c r="B24" s="9"/>
      <c r="C24" s="9"/>
      <c r="D24" s="74"/>
      <c r="E24" s="74"/>
      <c r="F24" s="74"/>
      <c r="G24" s="81">
        <f t="shared" si="0"/>
        <v>919.24</v>
      </c>
      <c r="I24" s="14"/>
      <c r="J24" s="9"/>
      <c r="K24" s="9"/>
      <c r="L24" s="74"/>
      <c r="M24" s="74"/>
      <c r="N24" s="74"/>
      <c r="O24" s="81">
        <f t="shared" si="2"/>
        <v>1244.9000000000001</v>
      </c>
    </row>
    <row r="25" spans="1:15" x14ac:dyDescent="0.2">
      <c r="A25" s="9"/>
      <c r="B25" s="9"/>
      <c r="C25" s="9"/>
      <c r="D25" s="74"/>
      <c r="E25" s="74"/>
      <c r="F25" s="74"/>
      <c r="G25" s="81">
        <f t="shared" si="0"/>
        <v>919.24</v>
      </c>
      <c r="I25" s="14"/>
      <c r="J25" s="9"/>
      <c r="K25" s="9"/>
      <c r="L25" s="74"/>
      <c r="M25" s="74"/>
      <c r="N25" s="74"/>
      <c r="O25" s="81">
        <f t="shared" si="2"/>
        <v>1244.9000000000001</v>
      </c>
    </row>
    <row r="26" spans="1:15" x14ac:dyDescent="0.2">
      <c r="A26" s="9"/>
      <c r="B26" s="9"/>
      <c r="C26" s="9"/>
      <c r="D26" s="74"/>
      <c r="E26" s="74"/>
      <c r="F26" s="74"/>
      <c r="G26" s="81">
        <f t="shared" si="0"/>
        <v>919.24</v>
      </c>
      <c r="I26" s="14"/>
      <c r="J26" s="9"/>
      <c r="K26" s="9"/>
      <c r="L26" s="74"/>
      <c r="M26" s="74"/>
      <c r="N26" s="74"/>
      <c r="O26" s="81">
        <f t="shared" si="2"/>
        <v>1244.9000000000001</v>
      </c>
    </row>
    <row r="27" spans="1:15" ht="13.5" thickBot="1" x14ac:dyDescent="0.25">
      <c r="A27" s="37"/>
      <c r="B27" s="37"/>
      <c r="C27" s="37"/>
      <c r="D27" s="82"/>
      <c r="E27" s="82"/>
      <c r="F27" s="82"/>
      <c r="G27" s="83">
        <f>SUM(G26+D27-E27-F27)</f>
        <v>919.24</v>
      </c>
      <c r="I27" s="95"/>
      <c r="J27" s="37"/>
      <c r="K27" s="37"/>
      <c r="L27" s="82"/>
      <c r="M27" s="82"/>
      <c r="N27" s="82"/>
      <c r="O27" s="83">
        <f>SUM(O26+L27-M27-N27)</f>
        <v>1244.9000000000001</v>
      </c>
    </row>
    <row r="28" spans="1:15" ht="13.5" thickTop="1" x14ac:dyDescent="0.2">
      <c r="A28" s="40"/>
      <c r="B28" s="41"/>
      <c r="C28" s="41"/>
      <c r="D28" s="77"/>
      <c r="E28" s="77"/>
      <c r="F28" s="77"/>
      <c r="G28" s="78"/>
      <c r="I28" s="40"/>
      <c r="J28" s="41"/>
      <c r="K28" s="41"/>
      <c r="L28" s="77"/>
      <c r="M28" s="77"/>
      <c r="N28" s="77"/>
      <c r="O28" s="78"/>
    </row>
    <row r="29" spans="1:15" ht="13.5" thickBot="1" x14ac:dyDescent="0.25">
      <c r="A29" s="42" t="s">
        <v>3</v>
      </c>
      <c r="B29" s="43"/>
      <c r="C29" s="43"/>
      <c r="D29" s="76"/>
      <c r="E29" s="84"/>
      <c r="F29" s="84"/>
      <c r="G29" s="211">
        <f>G27</f>
        <v>919.24</v>
      </c>
      <c r="I29" s="42" t="s">
        <v>3</v>
      </c>
      <c r="J29" s="43"/>
      <c r="K29" s="43"/>
      <c r="L29" s="76"/>
      <c r="M29" s="84"/>
      <c r="N29" s="84"/>
      <c r="O29" s="211">
        <f>O27</f>
        <v>1244.9000000000001</v>
      </c>
    </row>
  </sheetData>
  <sortState ref="A9:F16">
    <sortCondition ref="A9"/>
  </sortState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3100-000000000000}"/>
  </hyperlinks>
  <pageMargins left="0.7" right="0.7" top="0.75" bottom="0.75" header="0.3" footer="0.3"/>
  <pageSetup scale="9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O36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0.28515625" style="246" customWidth="1"/>
    <col min="2" max="2" width="11.7109375" style="246" customWidth="1"/>
    <col min="3" max="3" width="34.42578125" style="246" customWidth="1"/>
    <col min="4" max="4" width="10.28515625" style="246" bestFit="1" customWidth="1"/>
    <col min="5" max="5" width="5.42578125" style="246" bestFit="1" customWidth="1"/>
    <col min="6" max="6" width="10.28515625" style="299" bestFit="1" customWidth="1"/>
    <col min="7" max="7" width="11.140625" style="246" bestFit="1" customWidth="1"/>
    <col min="8" max="8" width="9.140625" style="246"/>
    <col min="9" max="9" width="10.85546875" style="246" bestFit="1" customWidth="1"/>
    <col min="10" max="10" width="12.28515625" style="246" customWidth="1"/>
    <col min="11" max="11" width="27.5703125" style="246" customWidth="1"/>
    <col min="12" max="12" width="10.28515625" style="246" bestFit="1" customWidth="1"/>
    <col min="13" max="13" width="9.140625" style="246"/>
    <col min="14" max="14" width="10.5703125" style="246" customWidth="1"/>
    <col min="15" max="15" width="10.28515625" style="246" bestFit="1" customWidth="1"/>
    <col min="16" max="16384" width="9.140625" style="246"/>
  </cols>
  <sheetData>
    <row r="1" spans="1:15" x14ac:dyDescent="0.2">
      <c r="A1" s="353" t="s">
        <v>11</v>
      </c>
      <c r="B1" s="354"/>
      <c r="C1" s="354"/>
      <c r="D1" s="354"/>
      <c r="E1" s="354"/>
      <c r="F1" s="354"/>
      <c r="G1" s="355"/>
      <c r="H1" s="301" t="s">
        <v>78</v>
      </c>
      <c r="I1" s="353" t="s">
        <v>11</v>
      </c>
      <c r="J1" s="354"/>
      <c r="K1" s="354"/>
      <c r="L1" s="354"/>
      <c r="M1" s="354"/>
      <c r="N1" s="354"/>
      <c r="O1" s="355"/>
    </row>
    <row r="2" spans="1:15" x14ac:dyDescent="0.2">
      <c r="A2" s="356" t="s">
        <v>41</v>
      </c>
      <c r="B2" s="357"/>
      <c r="C2" s="357"/>
      <c r="D2" s="357"/>
      <c r="E2" s="357"/>
      <c r="F2" s="357"/>
      <c r="G2" s="358"/>
      <c r="I2" s="356" t="s">
        <v>41</v>
      </c>
      <c r="J2" s="357"/>
      <c r="K2" s="357"/>
      <c r="L2" s="357"/>
      <c r="M2" s="357"/>
      <c r="N2" s="357"/>
      <c r="O2" s="358"/>
    </row>
    <row r="3" spans="1:15" x14ac:dyDescent="0.2">
      <c r="A3" s="359"/>
      <c r="B3" s="360"/>
      <c r="C3" s="360"/>
      <c r="D3" s="360"/>
      <c r="E3" s="360"/>
      <c r="F3" s="360"/>
      <c r="G3" s="361"/>
      <c r="I3" s="359"/>
      <c r="J3" s="360"/>
      <c r="K3" s="360"/>
      <c r="L3" s="360"/>
      <c r="M3" s="360"/>
      <c r="N3" s="360"/>
      <c r="O3" s="361"/>
    </row>
    <row r="4" spans="1:15" ht="18" x14ac:dyDescent="0.2">
      <c r="A4" s="362" t="s">
        <v>95</v>
      </c>
      <c r="B4" s="363"/>
      <c r="C4" s="363"/>
      <c r="D4" s="363"/>
      <c r="E4" s="363"/>
      <c r="F4" s="363"/>
      <c r="G4" s="364"/>
      <c r="I4" s="362" t="s">
        <v>95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66"/>
      <c r="C5" s="366"/>
      <c r="D5" s="366"/>
      <c r="E5" s="366"/>
      <c r="F5" s="366"/>
      <c r="G5" s="367"/>
      <c r="I5" s="365" t="s">
        <v>68</v>
      </c>
      <c r="J5" s="366"/>
      <c r="K5" s="366"/>
      <c r="L5" s="366"/>
      <c r="M5" s="366"/>
      <c r="N5" s="366"/>
      <c r="O5" s="367"/>
    </row>
    <row r="6" spans="1:15" ht="13.5" customHeight="1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19" t="s">
        <v>2</v>
      </c>
      <c r="E7" s="250" t="s">
        <v>8</v>
      </c>
      <c r="F7" s="219" t="s">
        <v>5</v>
      </c>
      <c r="G7" s="220" t="s">
        <v>6</v>
      </c>
      <c r="I7" s="216" t="s">
        <v>1</v>
      </c>
      <c r="J7" s="217" t="s">
        <v>12</v>
      </c>
      <c r="K7" s="218" t="s">
        <v>0</v>
      </c>
      <c r="L7" s="219" t="s">
        <v>2</v>
      </c>
      <c r="M7" s="250" t="s">
        <v>8</v>
      </c>
      <c r="N7" s="219" t="s">
        <v>5</v>
      </c>
      <c r="O7" s="220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v>760</v>
      </c>
      <c r="I8" s="116"/>
      <c r="J8" s="185"/>
      <c r="K8" s="185" t="s">
        <v>74</v>
      </c>
      <c r="L8" s="186"/>
      <c r="M8" s="186"/>
      <c r="N8" s="186"/>
      <c r="O8" s="296">
        <v>701.5</v>
      </c>
    </row>
    <row r="9" spans="1:15" ht="25.5" x14ac:dyDescent="0.2">
      <c r="A9" s="116">
        <v>43031</v>
      </c>
      <c r="B9" s="245">
        <v>11447763</v>
      </c>
      <c r="C9" s="271" t="s">
        <v>127</v>
      </c>
      <c r="D9" s="186"/>
      <c r="E9" s="186"/>
      <c r="F9" s="186">
        <v>200</v>
      </c>
      <c r="G9" s="297">
        <f t="shared" ref="G9:G27" si="0">SUM(G8+D9-E9-F9)</f>
        <v>560</v>
      </c>
      <c r="I9" s="116">
        <v>43172</v>
      </c>
      <c r="J9" s="185">
        <v>11579351</v>
      </c>
      <c r="K9" s="271" t="s">
        <v>259</v>
      </c>
      <c r="L9" s="185"/>
      <c r="M9" s="185"/>
      <c r="N9" s="186">
        <v>200</v>
      </c>
      <c r="O9" s="297">
        <f>O8+L9-M9-N9</f>
        <v>501.5</v>
      </c>
    </row>
    <row r="10" spans="1:15" x14ac:dyDescent="0.2">
      <c r="A10" s="116">
        <v>43173</v>
      </c>
      <c r="B10" s="245">
        <v>11579666</v>
      </c>
      <c r="C10" s="185" t="s">
        <v>260</v>
      </c>
      <c r="D10" s="186"/>
      <c r="E10" s="186"/>
      <c r="F10" s="186">
        <v>560</v>
      </c>
      <c r="G10" s="297">
        <f t="shared" si="0"/>
        <v>0</v>
      </c>
      <c r="I10" s="116">
        <v>43220</v>
      </c>
      <c r="J10" s="185">
        <v>11618987</v>
      </c>
      <c r="K10" s="185" t="s">
        <v>337</v>
      </c>
      <c r="L10" s="186"/>
      <c r="M10" s="186"/>
      <c r="N10" s="186">
        <v>500</v>
      </c>
      <c r="O10" s="297">
        <f t="shared" ref="O10:O27" si="1">O9+L10-M10-N10</f>
        <v>1.5</v>
      </c>
    </row>
    <row r="11" spans="1:15" x14ac:dyDescent="0.2">
      <c r="A11" s="116"/>
      <c r="B11" s="185"/>
      <c r="C11" s="185"/>
      <c r="D11" s="186"/>
      <c r="E11" s="186"/>
      <c r="F11" s="186"/>
      <c r="G11" s="297">
        <f t="shared" si="0"/>
        <v>0</v>
      </c>
      <c r="I11" s="116"/>
      <c r="J11" s="185"/>
      <c r="K11" s="185"/>
      <c r="L11" s="186"/>
      <c r="M11" s="186"/>
      <c r="N11" s="186"/>
      <c r="O11" s="297">
        <f t="shared" si="1"/>
        <v>1.5</v>
      </c>
    </row>
    <row r="12" spans="1:15" x14ac:dyDescent="0.2">
      <c r="A12" s="116"/>
      <c r="B12" s="185"/>
      <c r="C12" s="185"/>
      <c r="D12" s="186"/>
      <c r="E12" s="186"/>
      <c r="F12" s="186"/>
      <c r="G12" s="297">
        <f t="shared" si="0"/>
        <v>0</v>
      </c>
      <c r="I12" s="116"/>
      <c r="J12" s="185"/>
      <c r="K12" s="185"/>
      <c r="L12" s="186"/>
      <c r="M12" s="186"/>
      <c r="N12" s="186"/>
      <c r="O12" s="297">
        <f t="shared" si="1"/>
        <v>1.5</v>
      </c>
    </row>
    <row r="13" spans="1:15" x14ac:dyDescent="0.2">
      <c r="A13" s="116"/>
      <c r="B13" s="185"/>
      <c r="C13" s="185"/>
      <c r="D13" s="186"/>
      <c r="E13" s="186"/>
      <c r="F13" s="186"/>
      <c r="G13" s="297">
        <f t="shared" si="0"/>
        <v>0</v>
      </c>
      <c r="I13" s="116"/>
      <c r="J13" s="185"/>
      <c r="K13" s="185"/>
      <c r="L13" s="186"/>
      <c r="M13" s="186"/>
      <c r="N13" s="186"/>
      <c r="O13" s="297">
        <f t="shared" si="1"/>
        <v>1.5</v>
      </c>
    </row>
    <row r="14" spans="1:15" x14ac:dyDescent="0.2">
      <c r="A14" s="116"/>
      <c r="B14" s="185"/>
      <c r="C14" s="185"/>
      <c r="D14" s="186"/>
      <c r="E14" s="186"/>
      <c r="F14" s="186"/>
      <c r="G14" s="297">
        <f t="shared" si="0"/>
        <v>0</v>
      </c>
      <c r="I14" s="116"/>
      <c r="J14" s="185"/>
      <c r="K14" s="185"/>
      <c r="L14" s="186"/>
      <c r="M14" s="186"/>
      <c r="N14" s="186"/>
      <c r="O14" s="297">
        <f t="shared" si="1"/>
        <v>1.5</v>
      </c>
    </row>
    <row r="15" spans="1:15" x14ac:dyDescent="0.2">
      <c r="A15" s="116"/>
      <c r="B15" s="185"/>
      <c r="C15" s="185"/>
      <c r="D15" s="186"/>
      <c r="E15" s="186"/>
      <c r="F15" s="186"/>
      <c r="G15" s="297">
        <f t="shared" si="0"/>
        <v>0</v>
      </c>
      <c r="I15" s="116"/>
      <c r="J15" s="185"/>
      <c r="K15" s="185"/>
      <c r="L15" s="186"/>
      <c r="M15" s="186"/>
      <c r="N15" s="186"/>
      <c r="O15" s="297">
        <f t="shared" si="1"/>
        <v>1.5</v>
      </c>
    </row>
    <row r="16" spans="1:15" x14ac:dyDescent="0.2">
      <c r="A16" s="116"/>
      <c r="B16" s="185"/>
      <c r="C16" s="185"/>
      <c r="D16" s="186"/>
      <c r="E16" s="186"/>
      <c r="F16" s="186"/>
      <c r="G16" s="297">
        <f t="shared" si="0"/>
        <v>0</v>
      </c>
      <c r="I16" s="116"/>
      <c r="J16" s="185"/>
      <c r="K16" s="185"/>
      <c r="L16" s="186"/>
      <c r="M16" s="186"/>
      <c r="N16" s="186"/>
      <c r="O16" s="297">
        <f t="shared" si="1"/>
        <v>1.5</v>
      </c>
    </row>
    <row r="17" spans="1:15" x14ac:dyDescent="0.2">
      <c r="A17" s="116"/>
      <c r="B17" s="185"/>
      <c r="C17" s="185"/>
      <c r="D17" s="186"/>
      <c r="E17" s="186"/>
      <c r="F17" s="186"/>
      <c r="G17" s="297">
        <f t="shared" si="0"/>
        <v>0</v>
      </c>
      <c r="I17" s="116"/>
      <c r="J17" s="185"/>
      <c r="K17" s="185"/>
      <c r="L17" s="186"/>
      <c r="M17" s="186"/>
      <c r="N17" s="186"/>
      <c r="O17" s="297">
        <f t="shared" si="1"/>
        <v>1.5</v>
      </c>
    </row>
    <row r="18" spans="1:15" x14ac:dyDescent="0.2">
      <c r="A18" s="116"/>
      <c r="B18" s="185"/>
      <c r="C18" s="185"/>
      <c r="D18" s="186"/>
      <c r="E18" s="186"/>
      <c r="F18" s="186"/>
      <c r="G18" s="297">
        <f t="shared" si="0"/>
        <v>0</v>
      </c>
      <c r="I18" s="116"/>
      <c r="J18" s="185"/>
      <c r="K18" s="185"/>
      <c r="L18" s="186"/>
      <c r="M18" s="186"/>
      <c r="N18" s="186"/>
      <c r="O18" s="297">
        <f t="shared" si="1"/>
        <v>1.5</v>
      </c>
    </row>
    <row r="19" spans="1:15" x14ac:dyDescent="0.2">
      <c r="A19" s="116"/>
      <c r="B19" s="185"/>
      <c r="C19" s="185"/>
      <c r="D19" s="186"/>
      <c r="E19" s="186"/>
      <c r="F19" s="186"/>
      <c r="G19" s="297">
        <f t="shared" si="0"/>
        <v>0</v>
      </c>
      <c r="I19" s="116"/>
      <c r="J19" s="185"/>
      <c r="K19" s="185"/>
      <c r="L19" s="186"/>
      <c r="M19" s="186"/>
      <c r="N19" s="186"/>
      <c r="O19" s="297">
        <f t="shared" si="1"/>
        <v>1.5</v>
      </c>
    </row>
    <row r="20" spans="1:15" x14ac:dyDescent="0.2">
      <c r="A20" s="116"/>
      <c r="B20" s="185"/>
      <c r="C20" s="185"/>
      <c r="D20" s="186"/>
      <c r="E20" s="186"/>
      <c r="F20" s="186"/>
      <c r="G20" s="297">
        <f t="shared" si="0"/>
        <v>0</v>
      </c>
      <c r="I20" s="116"/>
      <c r="J20" s="185"/>
      <c r="K20" s="185"/>
      <c r="L20" s="186"/>
      <c r="M20" s="186"/>
      <c r="N20" s="186"/>
      <c r="O20" s="297">
        <f t="shared" si="1"/>
        <v>1.5</v>
      </c>
    </row>
    <row r="21" spans="1:15" x14ac:dyDescent="0.2">
      <c r="A21" s="116"/>
      <c r="B21" s="185"/>
      <c r="C21" s="185"/>
      <c r="D21" s="186"/>
      <c r="E21" s="186"/>
      <c r="F21" s="186"/>
      <c r="G21" s="297">
        <f t="shared" si="0"/>
        <v>0</v>
      </c>
      <c r="I21" s="116"/>
      <c r="J21" s="185"/>
      <c r="K21" s="185"/>
      <c r="L21" s="186"/>
      <c r="M21" s="186"/>
      <c r="N21" s="186"/>
      <c r="O21" s="297">
        <f t="shared" si="1"/>
        <v>1.5</v>
      </c>
    </row>
    <row r="22" spans="1:15" x14ac:dyDescent="0.2">
      <c r="A22" s="116"/>
      <c r="B22" s="185"/>
      <c r="C22" s="185"/>
      <c r="D22" s="186"/>
      <c r="E22" s="186"/>
      <c r="F22" s="186"/>
      <c r="G22" s="297">
        <f t="shared" si="0"/>
        <v>0</v>
      </c>
      <c r="I22" s="116"/>
      <c r="J22" s="185"/>
      <c r="K22" s="185"/>
      <c r="L22" s="186"/>
      <c r="M22" s="186"/>
      <c r="N22" s="186"/>
      <c r="O22" s="297">
        <f t="shared" si="1"/>
        <v>1.5</v>
      </c>
    </row>
    <row r="23" spans="1:15" x14ac:dyDescent="0.2">
      <c r="A23" s="116"/>
      <c r="B23" s="185"/>
      <c r="C23" s="185"/>
      <c r="D23" s="185"/>
      <c r="E23" s="185"/>
      <c r="F23" s="186"/>
      <c r="G23" s="297">
        <f t="shared" si="0"/>
        <v>0</v>
      </c>
      <c r="I23" s="116"/>
      <c r="J23" s="185"/>
      <c r="K23" s="185"/>
      <c r="L23" s="186"/>
      <c r="M23" s="186"/>
      <c r="N23" s="186"/>
      <c r="O23" s="297">
        <f t="shared" si="1"/>
        <v>1.5</v>
      </c>
    </row>
    <row r="24" spans="1:15" x14ac:dyDescent="0.2">
      <c r="A24" s="116"/>
      <c r="B24" s="185"/>
      <c r="C24" s="185"/>
      <c r="D24" s="186"/>
      <c r="E24" s="186"/>
      <c r="F24" s="186"/>
      <c r="G24" s="297">
        <f t="shared" si="0"/>
        <v>0</v>
      </c>
      <c r="I24" s="116"/>
      <c r="J24" s="185"/>
      <c r="K24" s="185"/>
      <c r="L24" s="186"/>
      <c r="M24" s="186"/>
      <c r="N24" s="186"/>
      <c r="O24" s="297">
        <f t="shared" si="1"/>
        <v>1.5</v>
      </c>
    </row>
    <row r="25" spans="1:15" x14ac:dyDescent="0.2">
      <c r="A25" s="116"/>
      <c r="B25" s="185"/>
      <c r="C25" s="185"/>
      <c r="D25" s="186"/>
      <c r="E25" s="186"/>
      <c r="F25" s="186"/>
      <c r="G25" s="297">
        <f t="shared" si="0"/>
        <v>0</v>
      </c>
      <c r="I25" s="116"/>
      <c r="J25" s="185"/>
      <c r="K25" s="185"/>
      <c r="L25" s="186"/>
      <c r="M25" s="186"/>
      <c r="N25" s="186"/>
      <c r="O25" s="297">
        <f t="shared" si="1"/>
        <v>1.5</v>
      </c>
    </row>
    <row r="26" spans="1:15" x14ac:dyDescent="0.2">
      <c r="A26" s="120"/>
      <c r="B26" s="117"/>
      <c r="C26" s="117"/>
      <c r="D26" s="165"/>
      <c r="E26" s="165"/>
      <c r="F26" s="165"/>
      <c r="G26" s="298">
        <f t="shared" si="0"/>
        <v>0</v>
      </c>
      <c r="I26" s="120"/>
      <c r="J26" s="117"/>
      <c r="K26" s="117"/>
      <c r="L26" s="165"/>
      <c r="M26" s="165"/>
      <c r="N26" s="165"/>
      <c r="O26" s="297">
        <f t="shared" si="1"/>
        <v>1.5</v>
      </c>
    </row>
    <row r="27" spans="1:15" ht="13.5" thickBot="1" x14ac:dyDescent="0.25">
      <c r="A27" s="121"/>
      <c r="B27" s="122"/>
      <c r="C27" s="122"/>
      <c r="D27" s="167"/>
      <c r="E27" s="167"/>
      <c r="F27" s="167"/>
      <c r="G27" s="297">
        <f t="shared" si="0"/>
        <v>0</v>
      </c>
      <c r="I27" s="121"/>
      <c r="J27" s="122"/>
      <c r="K27" s="122"/>
      <c r="L27" s="167"/>
      <c r="M27" s="167"/>
      <c r="N27" s="167"/>
      <c r="O27" s="297">
        <f t="shared" si="1"/>
        <v>1.5</v>
      </c>
    </row>
    <row r="28" spans="1:15" ht="13.5" thickTop="1" x14ac:dyDescent="0.2">
      <c r="A28" s="113"/>
      <c r="B28" s="114"/>
      <c r="C28" s="114"/>
      <c r="D28" s="161"/>
      <c r="E28" s="161"/>
      <c r="F28" s="161"/>
      <c r="G28" s="162"/>
      <c r="I28" s="113"/>
      <c r="J28" s="114"/>
      <c r="K28" s="114"/>
      <c r="L28" s="161"/>
      <c r="M28" s="161"/>
      <c r="N28" s="161"/>
      <c r="O28" s="162"/>
    </row>
    <row r="29" spans="1:15" ht="13.5" thickBot="1" x14ac:dyDescent="0.25">
      <c r="A29" s="124" t="s">
        <v>3</v>
      </c>
      <c r="B29" s="125"/>
      <c r="C29" s="125"/>
      <c r="D29" s="159"/>
      <c r="E29" s="169"/>
      <c r="F29" s="169"/>
      <c r="G29" s="209">
        <f>G27</f>
        <v>0</v>
      </c>
      <c r="I29" s="124" t="s">
        <v>3</v>
      </c>
      <c r="J29" s="125"/>
      <c r="K29" s="125"/>
      <c r="L29" s="159"/>
      <c r="M29" s="169"/>
      <c r="N29" s="169"/>
      <c r="O29" s="209">
        <f>O27</f>
        <v>1.5</v>
      </c>
    </row>
    <row r="35" spans="11:12" x14ac:dyDescent="0.2">
      <c r="K35" s="246">
        <f>179.97+65.94+64.95</f>
        <v>310.86</v>
      </c>
      <c r="L35" s="246">
        <f>346.11+31.08</f>
        <v>377.19</v>
      </c>
    </row>
    <row r="36" spans="11:12" x14ac:dyDescent="0.2">
      <c r="K36" s="246">
        <v>31.08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3200-000000000000}"/>
  </hyperlinks>
  <pageMargins left="0.7" right="0.7" top="0.75" bottom="0.75" header="0.3" footer="0.3"/>
  <pageSetup scale="9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6"/>
  <dimension ref="A1:O26"/>
  <sheetViews>
    <sheetView zoomScaleNormal="100" workbookViewId="0">
      <selection activeCell="H1" sqref="H1"/>
    </sheetView>
  </sheetViews>
  <sheetFormatPr defaultRowHeight="12.75" x14ac:dyDescent="0.2"/>
  <cols>
    <col min="1" max="1" width="10.85546875" style="49" customWidth="1"/>
    <col min="2" max="2" width="11.28515625" style="49" bestFit="1" customWidth="1"/>
    <col min="3" max="3" width="28.28515625" style="49" customWidth="1"/>
    <col min="4" max="4" width="14.7109375" style="49" bestFit="1" customWidth="1"/>
    <col min="5" max="5" width="5.28515625" style="49" customWidth="1"/>
    <col min="6" max="6" width="10.140625" style="49" bestFit="1" customWidth="1"/>
    <col min="7" max="7" width="16.140625" style="49" customWidth="1"/>
    <col min="8" max="8" width="9.140625" style="49"/>
    <col min="9" max="9" width="10.85546875" style="49" customWidth="1"/>
    <col min="10" max="10" width="11.28515625" style="49" bestFit="1" customWidth="1"/>
    <col min="11" max="11" width="28.28515625" style="49" customWidth="1"/>
    <col min="12" max="12" width="14.7109375" style="49" bestFit="1" customWidth="1"/>
    <col min="13" max="13" width="5.28515625" style="49" customWidth="1"/>
    <col min="14" max="14" width="10.140625" style="49" bestFit="1" customWidth="1"/>
    <col min="15" max="15" width="16.140625" style="49" customWidth="1"/>
    <col min="16" max="16384" width="9.140625" style="49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28</v>
      </c>
      <c r="B4" s="363"/>
      <c r="C4" s="363"/>
      <c r="D4" s="363"/>
      <c r="E4" s="363"/>
      <c r="F4" s="363"/>
      <c r="G4" s="364"/>
      <c r="I4" s="362" t="s">
        <v>28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I6" s="376" t="s">
        <v>94</v>
      </c>
      <c r="J6" s="377"/>
      <c r="K6" s="377"/>
      <c r="L6" s="377"/>
      <c r="M6" s="377"/>
      <c r="N6" s="377"/>
      <c r="O6" s="378"/>
    </row>
    <row r="7" spans="1:15" ht="26.25" customHeight="1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28" t="s">
        <v>8</v>
      </c>
      <c r="F7" s="228" t="s">
        <v>5</v>
      </c>
      <c r="G7" s="229" t="s">
        <v>6</v>
      </c>
      <c r="I7" s="216" t="s">
        <v>1</v>
      </c>
      <c r="J7" s="217" t="s">
        <v>12</v>
      </c>
      <c r="K7" s="218" t="s">
        <v>0</v>
      </c>
      <c r="L7" s="228" t="s">
        <v>2</v>
      </c>
      <c r="M7" s="228" t="s">
        <v>8</v>
      </c>
      <c r="N7" s="228" t="s">
        <v>5</v>
      </c>
      <c r="O7" s="22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247"/>
      <c r="J8" s="238"/>
      <c r="K8" s="238" t="s">
        <v>74</v>
      </c>
      <c r="L8" s="248">
        <v>0</v>
      </c>
      <c r="M8" s="248"/>
      <c r="N8" s="248"/>
      <c r="O8" s="249">
        <f>L8</f>
        <v>0</v>
      </c>
    </row>
    <row r="9" spans="1:15" x14ac:dyDescent="0.2">
      <c r="A9" s="284"/>
      <c r="B9" s="238"/>
      <c r="C9" s="238"/>
      <c r="D9" s="248"/>
      <c r="E9" s="248"/>
      <c r="F9" s="283"/>
      <c r="G9" s="249">
        <f>G8+D9-E9-F9</f>
        <v>0</v>
      </c>
      <c r="I9" s="284"/>
      <c r="J9" s="238"/>
      <c r="K9" s="238"/>
      <c r="L9" s="248"/>
      <c r="M9" s="248"/>
      <c r="N9" s="283"/>
      <c r="O9" s="249">
        <f>O8+L9-M9-N9</f>
        <v>0</v>
      </c>
    </row>
    <row r="10" spans="1:15" x14ac:dyDescent="0.2">
      <c r="A10" s="14"/>
      <c r="B10" s="63"/>
      <c r="C10" s="9"/>
      <c r="D10" s="74"/>
      <c r="E10" s="74"/>
      <c r="F10" s="75"/>
      <c r="G10" s="249">
        <f t="shared" ref="G10:G18" si="0">G9+D10-E10-F10</f>
        <v>0</v>
      </c>
      <c r="I10" s="14"/>
      <c r="J10" s="63"/>
      <c r="K10" s="9"/>
      <c r="L10" s="74"/>
      <c r="M10" s="74"/>
      <c r="N10" s="75"/>
      <c r="O10" s="249">
        <f t="shared" ref="O10:O18" si="1">O9+L10-M10-N10</f>
        <v>0</v>
      </c>
    </row>
    <row r="11" spans="1:15" x14ac:dyDescent="0.2">
      <c r="A11" s="14"/>
      <c r="B11" s="9"/>
      <c r="C11" s="63"/>
      <c r="D11" s="74"/>
      <c r="E11" s="74"/>
      <c r="F11" s="75"/>
      <c r="G11" s="249">
        <f t="shared" si="0"/>
        <v>0</v>
      </c>
      <c r="I11" s="14"/>
      <c r="J11" s="9"/>
      <c r="K11" s="63"/>
      <c r="L11" s="74"/>
      <c r="M11" s="74"/>
      <c r="N11" s="75"/>
      <c r="O11" s="249">
        <f t="shared" si="1"/>
        <v>0</v>
      </c>
    </row>
    <row r="12" spans="1:15" x14ac:dyDescent="0.2">
      <c r="A12" s="14"/>
      <c r="B12" s="9"/>
      <c r="C12" s="63"/>
      <c r="D12" s="74"/>
      <c r="E12" s="74"/>
      <c r="F12" s="75"/>
      <c r="G12" s="249">
        <f t="shared" si="0"/>
        <v>0</v>
      </c>
      <c r="I12" s="14"/>
      <c r="J12" s="9"/>
      <c r="K12" s="63"/>
      <c r="L12" s="74"/>
      <c r="M12" s="74"/>
      <c r="N12" s="75"/>
      <c r="O12" s="249">
        <f t="shared" si="1"/>
        <v>0</v>
      </c>
    </row>
    <row r="13" spans="1:15" x14ac:dyDescent="0.2">
      <c r="A13" s="14"/>
      <c r="B13" s="9"/>
      <c r="C13" s="63"/>
      <c r="D13" s="74"/>
      <c r="E13" s="74"/>
      <c r="F13" s="75"/>
      <c r="G13" s="249">
        <f t="shared" si="0"/>
        <v>0</v>
      </c>
      <c r="I13" s="14"/>
      <c r="J13" s="9"/>
      <c r="K13" s="63"/>
      <c r="L13" s="74"/>
      <c r="M13" s="74"/>
      <c r="N13" s="75"/>
      <c r="O13" s="249">
        <f t="shared" si="1"/>
        <v>0</v>
      </c>
    </row>
    <row r="14" spans="1:15" x14ac:dyDescent="0.2">
      <c r="A14" s="14"/>
      <c r="B14" s="9"/>
      <c r="C14" s="63"/>
      <c r="D14" s="74"/>
      <c r="E14" s="74"/>
      <c r="F14" s="75"/>
      <c r="G14" s="249">
        <f t="shared" si="0"/>
        <v>0</v>
      </c>
      <c r="I14" s="14"/>
      <c r="J14" s="9"/>
      <c r="K14" s="63"/>
      <c r="L14" s="74"/>
      <c r="M14" s="74"/>
      <c r="N14" s="75"/>
      <c r="O14" s="249">
        <f t="shared" si="1"/>
        <v>0</v>
      </c>
    </row>
    <row r="15" spans="1:15" x14ac:dyDescent="0.2">
      <c r="A15" s="14"/>
      <c r="B15" s="63"/>
      <c r="C15" s="63"/>
      <c r="D15" s="74"/>
      <c r="E15" s="74"/>
      <c r="F15" s="75"/>
      <c r="G15" s="249">
        <f t="shared" si="0"/>
        <v>0</v>
      </c>
      <c r="I15" s="14"/>
      <c r="J15" s="63"/>
      <c r="K15" s="63"/>
      <c r="L15" s="74"/>
      <c r="M15" s="74"/>
      <c r="N15" s="75"/>
      <c r="O15" s="249">
        <f t="shared" si="1"/>
        <v>0</v>
      </c>
    </row>
    <row r="16" spans="1:15" x14ac:dyDescent="0.2">
      <c r="A16" s="14"/>
      <c r="B16" s="63"/>
      <c r="C16" s="63"/>
      <c r="D16" s="74"/>
      <c r="E16" s="74"/>
      <c r="F16" s="75"/>
      <c r="G16" s="249">
        <f t="shared" si="0"/>
        <v>0</v>
      </c>
      <c r="I16" s="14"/>
      <c r="J16" s="63"/>
      <c r="K16" s="63"/>
      <c r="L16" s="74"/>
      <c r="M16" s="74"/>
      <c r="N16" s="75"/>
      <c r="O16" s="249">
        <f t="shared" si="1"/>
        <v>0</v>
      </c>
    </row>
    <row r="17" spans="1:15" x14ac:dyDescent="0.2">
      <c r="A17" s="14"/>
      <c r="B17" s="9"/>
      <c r="C17" s="63"/>
      <c r="D17" s="74"/>
      <c r="E17" s="74"/>
      <c r="F17" s="75"/>
      <c r="G17" s="249">
        <f t="shared" si="0"/>
        <v>0</v>
      </c>
      <c r="I17" s="14"/>
      <c r="J17" s="9"/>
      <c r="K17" s="63"/>
      <c r="L17" s="74"/>
      <c r="M17" s="74"/>
      <c r="N17" s="75"/>
      <c r="O17" s="249">
        <f t="shared" si="1"/>
        <v>0</v>
      </c>
    </row>
    <row r="18" spans="1:15" x14ac:dyDescent="0.2">
      <c r="A18" s="14"/>
      <c r="B18" s="9"/>
      <c r="C18" s="58"/>
      <c r="D18" s="74"/>
      <c r="E18" s="74"/>
      <c r="F18" s="75"/>
      <c r="G18" s="249">
        <f t="shared" si="0"/>
        <v>0</v>
      </c>
      <c r="I18" s="14"/>
      <c r="J18" s="9"/>
      <c r="K18" s="58"/>
      <c r="L18" s="74"/>
      <c r="M18" s="74"/>
      <c r="N18" s="75"/>
      <c r="O18" s="249">
        <f t="shared" si="1"/>
        <v>0</v>
      </c>
    </row>
    <row r="19" spans="1:15" x14ac:dyDescent="0.2">
      <c r="A19" s="14"/>
      <c r="B19" s="9"/>
      <c r="C19" s="58"/>
      <c r="D19" s="74"/>
      <c r="E19" s="74"/>
      <c r="F19" s="75"/>
      <c r="G19" s="81">
        <f t="shared" ref="G19:G23" si="2">SUM(G18+D19-E19-F19)</f>
        <v>0</v>
      </c>
      <c r="I19" s="14"/>
      <c r="J19" s="9"/>
      <c r="K19" s="58"/>
      <c r="L19" s="74"/>
      <c r="M19" s="74"/>
      <c r="N19" s="75"/>
      <c r="O19" s="81">
        <f t="shared" ref="O19:O23" si="3">SUM(O18+L19-M19-N19)</f>
        <v>0</v>
      </c>
    </row>
    <row r="20" spans="1:15" x14ac:dyDescent="0.2">
      <c r="A20" s="9"/>
      <c r="B20" s="9"/>
      <c r="C20" s="9"/>
      <c r="D20" s="74"/>
      <c r="E20" s="74"/>
      <c r="F20" s="74"/>
      <c r="G20" s="81">
        <f t="shared" si="2"/>
        <v>0</v>
      </c>
      <c r="I20" s="9"/>
      <c r="J20" s="9"/>
      <c r="K20" s="9"/>
      <c r="L20" s="74"/>
      <c r="M20" s="74"/>
      <c r="N20" s="74"/>
      <c r="O20" s="81">
        <f t="shared" si="3"/>
        <v>0</v>
      </c>
    </row>
    <row r="21" spans="1:15" x14ac:dyDescent="0.2">
      <c r="A21" s="9"/>
      <c r="B21" s="9"/>
      <c r="C21" s="9"/>
      <c r="D21" s="74"/>
      <c r="E21" s="74"/>
      <c r="F21" s="74"/>
      <c r="G21" s="81">
        <f t="shared" si="2"/>
        <v>0</v>
      </c>
      <c r="I21" s="9"/>
      <c r="J21" s="9"/>
      <c r="K21" s="9"/>
      <c r="L21" s="74"/>
      <c r="M21" s="74"/>
      <c r="N21" s="74"/>
      <c r="O21" s="81">
        <f t="shared" si="3"/>
        <v>0</v>
      </c>
    </row>
    <row r="22" spans="1:15" x14ac:dyDescent="0.2">
      <c r="A22" s="9"/>
      <c r="B22" s="9"/>
      <c r="C22" s="9"/>
      <c r="D22" s="74"/>
      <c r="E22" s="74"/>
      <c r="F22" s="74"/>
      <c r="G22" s="81">
        <f t="shared" si="2"/>
        <v>0</v>
      </c>
      <c r="I22" s="9"/>
      <c r="J22" s="9"/>
      <c r="K22" s="9"/>
      <c r="L22" s="74"/>
      <c r="M22" s="74"/>
      <c r="N22" s="74"/>
      <c r="O22" s="81">
        <f t="shared" si="3"/>
        <v>0</v>
      </c>
    </row>
    <row r="23" spans="1:15" x14ac:dyDescent="0.2">
      <c r="A23" s="9"/>
      <c r="B23" s="9"/>
      <c r="C23" s="9"/>
      <c r="D23" s="74"/>
      <c r="E23" s="74"/>
      <c r="F23" s="74"/>
      <c r="G23" s="81">
        <f t="shared" si="2"/>
        <v>0</v>
      </c>
      <c r="I23" s="9"/>
      <c r="J23" s="9"/>
      <c r="K23" s="9"/>
      <c r="L23" s="74"/>
      <c r="M23" s="74"/>
      <c r="N23" s="74"/>
      <c r="O23" s="81">
        <f t="shared" si="3"/>
        <v>0</v>
      </c>
    </row>
    <row r="24" spans="1:15" ht="13.5" thickBot="1" x14ac:dyDescent="0.25">
      <c r="A24" s="37"/>
      <c r="B24" s="37"/>
      <c r="C24" s="37"/>
      <c r="D24" s="82"/>
      <c r="E24" s="82"/>
      <c r="F24" s="82"/>
      <c r="G24" s="83">
        <f>SUM(G23+D24-E24-F24)</f>
        <v>0</v>
      </c>
      <c r="I24" s="37"/>
      <c r="J24" s="37"/>
      <c r="K24" s="37"/>
      <c r="L24" s="82"/>
      <c r="M24" s="82"/>
      <c r="N24" s="82"/>
      <c r="O24" s="83">
        <f>SUM(O23+L24-M24-N24)</f>
        <v>0</v>
      </c>
    </row>
    <row r="25" spans="1:15" ht="13.5" thickTop="1" x14ac:dyDescent="0.2">
      <c r="A25" s="40"/>
      <c r="B25" s="41"/>
      <c r="C25" s="41"/>
      <c r="D25" s="77"/>
      <c r="E25" s="77"/>
      <c r="F25" s="77"/>
      <c r="G25" s="78"/>
      <c r="I25" s="40"/>
      <c r="J25" s="41"/>
      <c r="K25" s="41"/>
      <c r="L25" s="77"/>
      <c r="M25" s="77"/>
      <c r="N25" s="77"/>
      <c r="O25" s="78"/>
    </row>
    <row r="26" spans="1:15" ht="13.5" thickBot="1" x14ac:dyDescent="0.25">
      <c r="A26" s="42" t="s">
        <v>3</v>
      </c>
      <c r="B26" s="43"/>
      <c r="C26" s="43"/>
      <c r="D26" s="76"/>
      <c r="E26" s="84"/>
      <c r="F26" s="84"/>
      <c r="G26" s="211">
        <f>G24</f>
        <v>0</v>
      </c>
      <c r="I26" s="42" t="s">
        <v>3</v>
      </c>
      <c r="J26" s="43"/>
      <c r="K26" s="43"/>
      <c r="L26" s="76"/>
      <c r="M26" s="84"/>
      <c r="N26" s="84"/>
      <c r="O26" s="211">
        <f>O24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3300-000000000000}"/>
  </hyperlinks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"/>
  <sheetViews>
    <sheetView topLeftCell="C1" workbookViewId="0">
      <selection activeCell="K11" sqref="K11"/>
    </sheetView>
  </sheetViews>
  <sheetFormatPr defaultRowHeight="12.75" x14ac:dyDescent="0.2"/>
  <cols>
    <col min="3" max="3" width="19.42578125" bestFit="1" customWidth="1"/>
    <col min="11" max="11" width="25.140625" customWidth="1"/>
    <col min="15" max="15" width="10.28515625" bestFit="1" customWidth="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30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H2" s="246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H3" s="246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281</v>
      </c>
      <c r="B4" s="363"/>
      <c r="C4" s="363"/>
      <c r="D4" s="363"/>
      <c r="E4" s="363"/>
      <c r="F4" s="363"/>
      <c r="G4" s="364"/>
      <c r="H4" s="246"/>
      <c r="I4" s="362" t="s">
        <v>281</v>
      </c>
      <c r="J4" s="363"/>
      <c r="K4" s="363"/>
      <c r="L4" s="363"/>
      <c r="M4" s="363"/>
      <c r="N4" s="363"/>
      <c r="O4" s="364"/>
    </row>
    <row r="5" spans="1:15" ht="15" x14ac:dyDescent="0.2">
      <c r="A5" s="365" t="s">
        <v>68</v>
      </c>
      <c r="B5" s="374"/>
      <c r="C5" s="374"/>
      <c r="D5" s="374"/>
      <c r="E5" s="374"/>
      <c r="F5" s="374"/>
      <c r="G5" s="375"/>
      <c r="H5" s="246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50" t="s">
        <v>94</v>
      </c>
      <c r="B6" s="351"/>
      <c r="C6" s="351"/>
      <c r="D6" s="351"/>
      <c r="E6" s="351"/>
      <c r="F6" s="351"/>
      <c r="G6" s="352"/>
      <c r="H6" s="246"/>
      <c r="I6" s="350" t="s">
        <v>94</v>
      </c>
      <c r="J6" s="351"/>
      <c r="K6" s="351"/>
      <c r="L6" s="351"/>
      <c r="M6" s="351"/>
      <c r="N6" s="351"/>
      <c r="O6" s="352"/>
    </row>
    <row r="7" spans="1:15" ht="26.25" thickBot="1" x14ac:dyDescent="0.25">
      <c r="A7" s="216" t="s">
        <v>1</v>
      </c>
      <c r="B7" s="217" t="s">
        <v>12</v>
      </c>
      <c r="C7" s="218" t="s">
        <v>0</v>
      </c>
      <c r="D7" s="228" t="s">
        <v>2</v>
      </c>
      <c r="E7" s="250" t="s">
        <v>8</v>
      </c>
      <c r="F7" s="228" t="s">
        <v>5</v>
      </c>
      <c r="G7" s="229" t="s">
        <v>6</v>
      </c>
      <c r="H7" s="246"/>
      <c r="I7" s="216" t="s">
        <v>1</v>
      </c>
      <c r="J7" s="217" t="s">
        <v>12</v>
      </c>
      <c r="K7" s="218" t="s">
        <v>0</v>
      </c>
      <c r="L7" s="228" t="s">
        <v>2</v>
      </c>
      <c r="M7" s="250" t="s">
        <v>8</v>
      </c>
      <c r="N7" s="228" t="s">
        <v>5</v>
      </c>
      <c r="O7" s="229" t="s">
        <v>6</v>
      </c>
    </row>
    <row r="8" spans="1:15" x14ac:dyDescent="0.2">
      <c r="A8" s="294"/>
      <c r="B8" s="232"/>
      <c r="C8" s="232" t="s">
        <v>70</v>
      </c>
      <c r="D8" s="295"/>
      <c r="E8" s="295"/>
      <c r="F8" s="295"/>
      <c r="G8" s="296">
        <f>D8</f>
        <v>0</v>
      </c>
      <c r="H8" s="246"/>
      <c r="I8" s="116"/>
      <c r="J8" s="117"/>
      <c r="K8" s="185" t="s">
        <v>74</v>
      </c>
      <c r="L8" s="118"/>
      <c r="M8" s="118"/>
      <c r="N8" s="118"/>
      <c r="O8" s="302">
        <v>1357.15</v>
      </c>
    </row>
    <row r="9" spans="1:15" ht="25.5" x14ac:dyDescent="0.2">
      <c r="A9" s="116"/>
      <c r="B9" s="185"/>
      <c r="C9" s="185"/>
      <c r="D9" s="118"/>
      <c r="E9" s="118"/>
      <c r="F9" s="118"/>
      <c r="G9" s="296">
        <f t="shared" ref="G9:G13" si="0">SUM(G8+D9-E9-F9)</f>
        <v>0</v>
      </c>
      <c r="H9" s="246"/>
      <c r="I9" s="345">
        <v>43193</v>
      </c>
      <c r="J9" s="117"/>
      <c r="K9" s="271" t="s">
        <v>282</v>
      </c>
      <c r="L9" s="118"/>
      <c r="M9" s="118"/>
      <c r="N9" s="118">
        <v>123.05</v>
      </c>
      <c r="O9" s="302">
        <f>O8+L9-M9-N9</f>
        <v>1234.1000000000001</v>
      </c>
    </row>
    <row r="10" spans="1:15" x14ac:dyDescent="0.2">
      <c r="A10" s="116"/>
      <c r="B10" s="117"/>
      <c r="C10" s="185"/>
      <c r="D10" s="118"/>
      <c r="E10" s="118"/>
      <c r="F10" s="118"/>
      <c r="G10" s="296">
        <f t="shared" si="0"/>
        <v>0</v>
      </c>
      <c r="H10" s="246"/>
      <c r="I10" s="345">
        <v>43196</v>
      </c>
      <c r="J10" s="117">
        <v>11599812</v>
      </c>
      <c r="K10" s="117" t="s">
        <v>283</v>
      </c>
      <c r="L10" s="118"/>
      <c r="M10" s="118"/>
      <c r="N10" s="118">
        <v>144</v>
      </c>
      <c r="O10" s="302">
        <f t="shared" ref="O10:O13" si="1">O9+L10-M10-N10</f>
        <v>1090.1000000000001</v>
      </c>
    </row>
    <row r="11" spans="1:15" x14ac:dyDescent="0.2">
      <c r="A11" s="120"/>
      <c r="B11" s="117"/>
      <c r="C11" s="117"/>
      <c r="D11" s="118"/>
      <c r="E11" s="118"/>
      <c r="F11" s="118"/>
      <c r="G11" s="296">
        <f t="shared" si="0"/>
        <v>0</v>
      </c>
      <c r="H11" s="246"/>
      <c r="I11" s="345">
        <v>43215</v>
      </c>
      <c r="J11" s="189" t="s">
        <v>300</v>
      </c>
      <c r="K11" s="189" t="s">
        <v>301</v>
      </c>
      <c r="L11" s="293"/>
      <c r="M11" s="293"/>
      <c r="N11" s="293">
        <f>93.21-13.98</f>
        <v>79.22999999999999</v>
      </c>
      <c r="O11" s="302">
        <f t="shared" si="1"/>
        <v>1010.8700000000001</v>
      </c>
    </row>
    <row r="12" spans="1:15" x14ac:dyDescent="0.2">
      <c r="A12" s="120"/>
      <c r="B12" s="117"/>
      <c r="C12" s="117"/>
      <c r="D12" s="118"/>
      <c r="E12" s="118"/>
      <c r="F12" s="118"/>
      <c r="G12" s="296">
        <f t="shared" si="0"/>
        <v>0</v>
      </c>
      <c r="H12" s="246"/>
      <c r="I12" s="345">
        <v>43220</v>
      </c>
      <c r="J12" s="189">
        <v>11619802</v>
      </c>
      <c r="K12" s="117" t="s">
        <v>283</v>
      </c>
      <c r="L12" s="293"/>
      <c r="M12" s="293"/>
      <c r="N12" s="293">
        <v>292.33999999999997</v>
      </c>
      <c r="O12" s="302">
        <f t="shared" si="1"/>
        <v>718.5300000000002</v>
      </c>
    </row>
    <row r="13" spans="1:15" ht="13.5" thickBot="1" x14ac:dyDescent="0.25">
      <c r="A13" s="121"/>
      <c r="B13" s="122"/>
      <c r="C13" s="122"/>
      <c r="D13" s="123"/>
      <c r="E13" s="123"/>
      <c r="F13" s="123"/>
      <c r="G13" s="297">
        <f t="shared" si="0"/>
        <v>0</v>
      </c>
      <c r="H13" s="246"/>
      <c r="I13" s="345">
        <v>43231</v>
      </c>
      <c r="J13" s="122">
        <v>11631043</v>
      </c>
      <c r="K13" s="117" t="s">
        <v>283</v>
      </c>
      <c r="L13" s="123"/>
      <c r="M13" s="123"/>
      <c r="N13" s="123">
        <f>119+132+159</f>
        <v>410</v>
      </c>
      <c r="O13" s="302">
        <f t="shared" si="1"/>
        <v>308.5300000000002</v>
      </c>
    </row>
    <row r="14" spans="1:15" ht="13.5" thickTop="1" x14ac:dyDescent="0.2">
      <c r="A14" s="113"/>
      <c r="B14" s="114"/>
      <c r="C14" s="114"/>
      <c r="D14" s="115"/>
      <c r="E14" s="115"/>
      <c r="F14" s="115"/>
      <c r="G14" s="303"/>
      <c r="H14" s="246"/>
      <c r="I14" s="113"/>
      <c r="J14" s="114"/>
      <c r="K14" s="114"/>
      <c r="L14" s="115"/>
      <c r="M14" s="115"/>
      <c r="N14" s="115"/>
      <c r="O14" s="303"/>
    </row>
    <row r="15" spans="1:15" ht="13.5" thickBot="1" x14ac:dyDescent="0.25">
      <c r="A15" s="286" t="s">
        <v>3</v>
      </c>
      <c r="B15" s="287"/>
      <c r="C15" s="287"/>
      <c r="D15" s="288"/>
      <c r="E15" s="289"/>
      <c r="F15" s="290"/>
      <c r="G15" s="297">
        <f>G13</f>
        <v>0</v>
      </c>
      <c r="H15" s="246"/>
      <c r="I15" s="286" t="s">
        <v>3</v>
      </c>
      <c r="J15" s="287"/>
      <c r="K15" s="287"/>
      <c r="L15" s="288"/>
      <c r="M15" s="289"/>
      <c r="N15" s="290"/>
      <c r="O15" s="297">
        <f>O13</f>
        <v>308.5300000000002</v>
      </c>
    </row>
    <row r="16" spans="1:15" x14ac:dyDescent="0.2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O33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0.85546875" style="141" bestFit="1" customWidth="1"/>
    <col min="2" max="2" width="10.7109375" style="141" bestFit="1" customWidth="1"/>
    <col min="3" max="3" width="32.28515625" style="141" bestFit="1" customWidth="1"/>
    <col min="4" max="4" width="12.85546875" style="141" customWidth="1"/>
    <col min="5" max="5" width="5.42578125" style="141" bestFit="1" customWidth="1"/>
    <col min="6" max="6" width="12" style="141" bestFit="1" customWidth="1"/>
    <col min="7" max="7" width="11.5703125" style="141" bestFit="1" customWidth="1"/>
    <col min="8" max="8" width="9.140625" style="141"/>
    <col min="9" max="9" width="10.85546875" style="141" bestFit="1" customWidth="1"/>
    <col min="10" max="10" width="10.7109375" style="141" customWidth="1"/>
    <col min="11" max="11" width="30.7109375" style="141" customWidth="1"/>
    <col min="12" max="12" width="12.85546875" style="141" customWidth="1"/>
    <col min="13" max="13" width="5.42578125" style="141" bestFit="1" customWidth="1"/>
    <col min="14" max="14" width="11.85546875" style="141" customWidth="1"/>
    <col min="15" max="15" width="11.5703125" style="141" customWidth="1"/>
    <col min="16" max="16384" width="9.140625" style="14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14</v>
      </c>
      <c r="B4" s="363"/>
      <c r="C4" s="363"/>
      <c r="D4" s="363"/>
      <c r="E4" s="363"/>
      <c r="F4" s="363"/>
      <c r="G4" s="364"/>
      <c r="I4" s="362" t="s">
        <v>14</v>
      </c>
      <c r="J4" s="363"/>
      <c r="K4" s="363"/>
      <c r="L4" s="363"/>
      <c r="M4" s="363"/>
      <c r="N4" s="363"/>
      <c r="O4" s="364"/>
    </row>
    <row r="5" spans="1:15" ht="18" customHeight="1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5.5" customHeight="1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v>1286.8699999999999</v>
      </c>
      <c r="I8" s="116"/>
      <c r="J8" s="117"/>
      <c r="K8" s="117" t="s">
        <v>74</v>
      </c>
      <c r="L8" s="154"/>
      <c r="M8" s="154"/>
      <c r="N8" s="155"/>
      <c r="O8" s="249">
        <v>758.91</v>
      </c>
    </row>
    <row r="9" spans="1:15" ht="25.5" x14ac:dyDescent="0.2">
      <c r="A9" s="116">
        <v>42997</v>
      </c>
      <c r="B9" s="185" t="s">
        <v>132</v>
      </c>
      <c r="C9" s="185" t="s">
        <v>133</v>
      </c>
      <c r="D9" s="154"/>
      <c r="E9" s="154"/>
      <c r="F9" s="155">
        <f>212-31.8</f>
        <v>180.2</v>
      </c>
      <c r="G9" s="153">
        <f>SUM(G8+D9-E9-F9)</f>
        <v>1106.6699999999998</v>
      </c>
      <c r="I9" s="116">
        <v>43133</v>
      </c>
      <c r="J9" s="117" t="s">
        <v>105</v>
      </c>
      <c r="K9" s="272" t="s">
        <v>226</v>
      </c>
      <c r="L9" s="154"/>
      <c r="M9" s="154"/>
      <c r="N9" s="155">
        <v>63.86</v>
      </c>
      <c r="O9" s="153">
        <f>O8+L9-M9-N9</f>
        <v>695.05</v>
      </c>
    </row>
    <row r="10" spans="1:15" x14ac:dyDescent="0.2">
      <c r="A10" s="116">
        <v>43042</v>
      </c>
      <c r="B10" s="117" t="s">
        <v>156</v>
      </c>
      <c r="C10" s="117" t="s">
        <v>157</v>
      </c>
      <c r="D10" s="117"/>
      <c r="E10" s="154"/>
      <c r="F10" s="155">
        <f>54-8.1</f>
        <v>45.9</v>
      </c>
      <c r="G10" s="153">
        <f t="shared" ref="G10:G14" si="0">SUM(G9+D10-E10-F10)</f>
        <v>1060.7699999999998</v>
      </c>
      <c r="I10" s="116">
        <v>43122</v>
      </c>
      <c r="J10" s="117" t="s">
        <v>229</v>
      </c>
      <c r="K10" s="117" t="s">
        <v>230</v>
      </c>
      <c r="L10" s="154"/>
      <c r="M10" s="154"/>
      <c r="N10" s="312">
        <f>166.5-9.38</f>
        <v>157.12</v>
      </c>
      <c r="O10" s="153">
        <f t="shared" ref="O10:O18" si="1">O9+L10-M10-N10</f>
        <v>537.92999999999995</v>
      </c>
    </row>
    <row r="11" spans="1:15" ht="25.5" x14ac:dyDescent="0.2">
      <c r="A11" s="311">
        <v>43042</v>
      </c>
      <c r="B11" s="185" t="s">
        <v>158</v>
      </c>
      <c r="C11" s="117" t="s">
        <v>159</v>
      </c>
      <c r="D11" s="186"/>
      <c r="E11" s="186"/>
      <c r="F11" s="312">
        <f>850-127.5</f>
        <v>722.5</v>
      </c>
      <c r="G11" s="153">
        <f t="shared" si="0"/>
        <v>338.26999999999975</v>
      </c>
      <c r="I11" s="116">
        <v>43140</v>
      </c>
      <c r="J11" s="117" t="s">
        <v>246</v>
      </c>
      <c r="K11" s="271" t="s">
        <v>247</v>
      </c>
      <c r="L11" s="154"/>
      <c r="M11" s="154"/>
      <c r="N11" s="155">
        <f>162-24.3</f>
        <v>137.69999999999999</v>
      </c>
      <c r="O11" s="153">
        <f t="shared" si="1"/>
        <v>400.22999999999996</v>
      </c>
    </row>
    <row r="12" spans="1:15" x14ac:dyDescent="0.2">
      <c r="A12" s="116"/>
      <c r="B12" s="189"/>
      <c r="C12" s="273"/>
      <c r="D12" s="154"/>
      <c r="E12" s="154"/>
      <c r="F12" s="155"/>
      <c r="G12" s="153">
        <f t="shared" si="0"/>
        <v>338.26999999999975</v>
      </c>
      <c r="I12" s="116">
        <v>43143</v>
      </c>
      <c r="J12" s="117" t="s">
        <v>105</v>
      </c>
      <c r="K12" s="117" t="s">
        <v>234</v>
      </c>
      <c r="L12" s="154"/>
      <c r="M12" s="154"/>
      <c r="N12" s="155">
        <v>4.33</v>
      </c>
      <c r="O12" s="153">
        <f t="shared" si="1"/>
        <v>395.9</v>
      </c>
    </row>
    <row r="13" spans="1:15" ht="25.5" x14ac:dyDescent="0.2">
      <c r="A13" s="116"/>
      <c r="B13" s="189"/>
      <c r="C13" s="273"/>
      <c r="D13" s="154"/>
      <c r="E13" s="154"/>
      <c r="F13" s="155"/>
      <c r="G13" s="153">
        <f t="shared" si="0"/>
        <v>338.26999999999975</v>
      </c>
      <c r="I13" s="116">
        <v>43175</v>
      </c>
      <c r="J13" s="117" t="s">
        <v>257</v>
      </c>
      <c r="K13" s="271" t="s">
        <v>256</v>
      </c>
      <c r="L13" s="154"/>
      <c r="M13" s="154"/>
      <c r="N13" s="155">
        <f>175-26.25</f>
        <v>148.75</v>
      </c>
      <c r="O13" s="153">
        <f t="shared" si="1"/>
        <v>247.14999999999998</v>
      </c>
    </row>
    <row r="14" spans="1:15" x14ac:dyDescent="0.2">
      <c r="A14" s="116"/>
      <c r="B14" s="117"/>
      <c r="C14" s="117"/>
      <c r="D14" s="154"/>
      <c r="E14" s="154"/>
      <c r="F14" s="155"/>
      <c r="G14" s="153">
        <f t="shared" si="0"/>
        <v>338.26999999999975</v>
      </c>
      <c r="I14" s="116">
        <v>43182</v>
      </c>
      <c r="J14" s="117" t="s">
        <v>265</v>
      </c>
      <c r="K14" s="185" t="s">
        <v>266</v>
      </c>
      <c r="L14" s="154"/>
      <c r="M14" s="154"/>
      <c r="N14" s="155">
        <f>117-17.55</f>
        <v>99.45</v>
      </c>
      <c r="O14" s="153">
        <f t="shared" si="1"/>
        <v>147.69999999999999</v>
      </c>
    </row>
    <row r="15" spans="1:15" x14ac:dyDescent="0.2">
      <c r="A15" s="116"/>
      <c r="B15" s="117"/>
      <c r="C15" s="185"/>
      <c r="D15" s="154"/>
      <c r="E15" s="154"/>
      <c r="F15" s="155"/>
      <c r="G15" s="153">
        <f t="shared" ref="G15:G30" si="2">SUM(G14+D15-E15-F15)</f>
        <v>338.26999999999975</v>
      </c>
      <c r="I15" s="116">
        <v>43186</v>
      </c>
      <c r="J15" s="117" t="s">
        <v>280</v>
      </c>
      <c r="K15" s="185" t="s">
        <v>334</v>
      </c>
      <c r="L15" s="154"/>
      <c r="M15" s="154"/>
      <c r="N15" s="155">
        <v>38</v>
      </c>
      <c r="O15" s="153">
        <f t="shared" si="1"/>
        <v>109.69999999999999</v>
      </c>
    </row>
    <row r="16" spans="1:15" x14ac:dyDescent="0.2">
      <c r="A16" s="116"/>
      <c r="B16" s="117"/>
      <c r="C16" s="117"/>
      <c r="D16" s="154"/>
      <c r="E16" s="154"/>
      <c r="F16" s="155"/>
      <c r="G16" s="153">
        <f t="shared" si="2"/>
        <v>338.26999999999975</v>
      </c>
      <c r="I16" s="116">
        <v>43202</v>
      </c>
      <c r="J16" s="117" t="s">
        <v>105</v>
      </c>
      <c r="K16" s="117" t="s">
        <v>294</v>
      </c>
      <c r="L16" s="154"/>
      <c r="M16" s="154"/>
      <c r="N16" s="155">
        <v>24.92</v>
      </c>
      <c r="O16" s="153">
        <f t="shared" si="1"/>
        <v>84.779999999999987</v>
      </c>
    </row>
    <row r="17" spans="1:15" x14ac:dyDescent="0.2">
      <c r="A17" s="116"/>
      <c r="B17" s="117"/>
      <c r="C17" s="117"/>
      <c r="D17" s="154"/>
      <c r="E17" s="154"/>
      <c r="F17" s="155"/>
      <c r="G17" s="153">
        <f t="shared" si="2"/>
        <v>338.26999999999975</v>
      </c>
      <c r="I17" s="116">
        <v>43221</v>
      </c>
      <c r="J17" s="117" t="s">
        <v>105</v>
      </c>
      <c r="K17" s="272" t="s">
        <v>348</v>
      </c>
      <c r="L17" s="154"/>
      <c r="M17" s="154"/>
      <c r="N17" s="155">
        <v>11.97</v>
      </c>
      <c r="O17" s="153">
        <f t="shared" si="1"/>
        <v>72.809999999999988</v>
      </c>
    </row>
    <row r="18" spans="1:15" x14ac:dyDescent="0.2">
      <c r="A18" s="116"/>
      <c r="B18" s="117"/>
      <c r="C18" s="117"/>
      <c r="D18" s="154"/>
      <c r="E18" s="154"/>
      <c r="F18" s="155"/>
      <c r="G18" s="153">
        <f t="shared" si="2"/>
        <v>338.26999999999975</v>
      </c>
      <c r="I18" s="120"/>
      <c r="J18" s="117"/>
      <c r="K18" s="117"/>
      <c r="L18" s="154"/>
      <c r="M18" s="154"/>
      <c r="N18" s="154"/>
      <c r="O18" s="153">
        <f t="shared" si="1"/>
        <v>72.809999999999988</v>
      </c>
    </row>
    <row r="19" spans="1:15" x14ac:dyDescent="0.2">
      <c r="A19" s="116"/>
      <c r="B19" s="117"/>
      <c r="C19" s="117"/>
      <c r="D19" s="154"/>
      <c r="E19" s="154"/>
      <c r="F19" s="155"/>
      <c r="G19" s="153">
        <f t="shared" si="2"/>
        <v>338.26999999999975</v>
      </c>
      <c r="I19" s="120"/>
      <c r="J19" s="117"/>
      <c r="K19" s="117"/>
      <c r="L19" s="154"/>
      <c r="M19" s="154"/>
      <c r="N19" s="154"/>
      <c r="O19" s="153">
        <f t="shared" ref="O19:O31" si="3">O18+L27-M27-N27</f>
        <v>72.809999999999988</v>
      </c>
    </row>
    <row r="20" spans="1:15" x14ac:dyDescent="0.2">
      <c r="A20" s="116"/>
      <c r="B20" s="117"/>
      <c r="C20" s="185"/>
      <c r="D20" s="154"/>
      <c r="E20" s="154"/>
      <c r="F20" s="155"/>
      <c r="G20" s="153">
        <f t="shared" si="2"/>
        <v>338.26999999999975</v>
      </c>
      <c r="I20" s="120"/>
      <c r="J20" s="117"/>
      <c r="K20" s="117"/>
      <c r="L20" s="154"/>
      <c r="M20" s="154"/>
      <c r="N20" s="154"/>
      <c r="O20" s="153">
        <f t="shared" si="3"/>
        <v>72.809999999999988</v>
      </c>
    </row>
    <row r="21" spans="1:15" x14ac:dyDescent="0.2">
      <c r="A21" s="116"/>
      <c r="B21" s="117"/>
      <c r="C21" s="185"/>
      <c r="D21" s="154"/>
      <c r="E21" s="154"/>
      <c r="F21" s="155"/>
      <c r="G21" s="153">
        <f t="shared" si="2"/>
        <v>338.26999999999975</v>
      </c>
      <c r="I21" s="120"/>
      <c r="J21" s="117"/>
      <c r="K21" s="117"/>
      <c r="L21" s="154"/>
      <c r="M21" s="154"/>
      <c r="N21" s="154"/>
      <c r="O21" s="153">
        <f t="shared" si="3"/>
        <v>72.809999999999988</v>
      </c>
    </row>
    <row r="22" spans="1:15" x14ac:dyDescent="0.2">
      <c r="A22" s="116"/>
      <c r="B22" s="117"/>
      <c r="C22" s="185"/>
      <c r="D22" s="154"/>
      <c r="E22" s="154"/>
      <c r="F22" s="155"/>
      <c r="G22" s="153">
        <f t="shared" si="2"/>
        <v>338.26999999999975</v>
      </c>
      <c r="I22" s="120"/>
      <c r="J22" s="117"/>
      <c r="K22" s="117"/>
      <c r="L22" s="154"/>
      <c r="M22" s="154"/>
      <c r="N22" s="154"/>
      <c r="O22" s="153">
        <f t="shared" si="3"/>
        <v>72.809999999999988</v>
      </c>
    </row>
    <row r="23" spans="1:15" x14ac:dyDescent="0.2">
      <c r="A23" s="116"/>
      <c r="B23" s="117"/>
      <c r="C23" s="185"/>
      <c r="D23" s="154"/>
      <c r="E23" s="154"/>
      <c r="F23" s="155"/>
      <c r="G23" s="153">
        <f t="shared" si="2"/>
        <v>338.26999999999975</v>
      </c>
      <c r="I23" s="120"/>
      <c r="J23" s="117"/>
      <c r="K23" s="117"/>
      <c r="L23" s="154"/>
      <c r="M23" s="154"/>
      <c r="N23" s="154"/>
      <c r="O23" s="153">
        <f t="shared" si="3"/>
        <v>72.809999999999988</v>
      </c>
    </row>
    <row r="24" spans="1:15" x14ac:dyDescent="0.2">
      <c r="A24" s="116"/>
      <c r="B24" s="117"/>
      <c r="C24" s="117"/>
      <c r="D24" s="154"/>
      <c r="E24" s="154"/>
      <c r="F24" s="155"/>
      <c r="G24" s="153">
        <f t="shared" si="2"/>
        <v>338.26999999999975</v>
      </c>
      <c r="I24" s="120"/>
      <c r="J24" s="117"/>
      <c r="K24" s="117"/>
      <c r="L24" s="154"/>
      <c r="M24" s="154"/>
      <c r="N24" s="154"/>
      <c r="O24" s="153">
        <f t="shared" si="3"/>
        <v>72.809999999999988</v>
      </c>
    </row>
    <row r="25" spans="1:15" x14ac:dyDescent="0.2">
      <c r="A25" s="116"/>
      <c r="B25" s="117"/>
      <c r="C25" s="117"/>
      <c r="D25" s="154"/>
      <c r="E25" s="154"/>
      <c r="F25" s="155"/>
      <c r="G25" s="153">
        <f t="shared" si="2"/>
        <v>338.26999999999975</v>
      </c>
      <c r="I25" s="120"/>
      <c r="J25" s="117"/>
      <c r="K25" s="117"/>
      <c r="L25" s="154"/>
      <c r="M25" s="154"/>
      <c r="N25" s="154"/>
      <c r="O25" s="153">
        <f t="shared" si="3"/>
        <v>72.809999999999988</v>
      </c>
    </row>
    <row r="26" spans="1:15" x14ac:dyDescent="0.2">
      <c r="A26" s="120"/>
      <c r="B26" s="117"/>
      <c r="C26" s="117"/>
      <c r="D26" s="154"/>
      <c r="E26" s="154"/>
      <c r="F26" s="154"/>
      <c r="G26" s="153">
        <f t="shared" si="2"/>
        <v>338.26999999999975</v>
      </c>
      <c r="I26" s="120"/>
      <c r="J26" s="117"/>
      <c r="K26" s="117"/>
      <c r="L26" s="154"/>
      <c r="M26" s="154"/>
      <c r="N26" s="154"/>
      <c r="O26" s="153">
        <f t="shared" si="3"/>
        <v>72.809999999999988</v>
      </c>
    </row>
    <row r="27" spans="1:15" x14ac:dyDescent="0.2">
      <c r="A27" s="120"/>
      <c r="B27" s="117"/>
      <c r="C27" s="117"/>
      <c r="D27" s="154"/>
      <c r="E27" s="154"/>
      <c r="F27" s="154"/>
      <c r="G27" s="153">
        <f t="shared" si="2"/>
        <v>338.26999999999975</v>
      </c>
      <c r="I27" s="120"/>
      <c r="J27" s="117"/>
      <c r="K27" s="117"/>
      <c r="L27" s="154"/>
      <c r="M27" s="154"/>
      <c r="N27" s="154"/>
      <c r="O27" s="153">
        <f t="shared" si="3"/>
        <v>72.809999999999988</v>
      </c>
    </row>
    <row r="28" spans="1:15" x14ac:dyDescent="0.2">
      <c r="A28" s="120"/>
      <c r="B28" s="117"/>
      <c r="C28" s="117"/>
      <c r="D28" s="154"/>
      <c r="E28" s="154"/>
      <c r="F28" s="154"/>
      <c r="G28" s="153">
        <f t="shared" si="2"/>
        <v>338.26999999999975</v>
      </c>
      <c r="I28" s="120"/>
      <c r="J28" s="117"/>
      <c r="K28" s="117"/>
      <c r="L28" s="154"/>
      <c r="M28" s="154"/>
      <c r="N28" s="154"/>
      <c r="O28" s="153">
        <f t="shared" si="3"/>
        <v>72.809999999999988</v>
      </c>
    </row>
    <row r="29" spans="1:15" x14ac:dyDescent="0.2">
      <c r="A29" s="120"/>
      <c r="B29" s="117"/>
      <c r="C29" s="117"/>
      <c r="D29" s="154"/>
      <c r="E29" s="154"/>
      <c r="F29" s="154"/>
      <c r="G29" s="156">
        <f t="shared" si="2"/>
        <v>338.26999999999975</v>
      </c>
      <c r="I29" s="120"/>
      <c r="J29" s="117"/>
      <c r="K29" s="117"/>
      <c r="L29" s="154"/>
      <c r="M29" s="154"/>
      <c r="N29" s="154"/>
      <c r="O29" s="153">
        <f t="shared" si="3"/>
        <v>72.809999999999988</v>
      </c>
    </row>
    <row r="30" spans="1:15" x14ac:dyDescent="0.2">
      <c r="A30" s="120"/>
      <c r="B30" s="117"/>
      <c r="C30" s="117"/>
      <c r="D30" s="154"/>
      <c r="E30" s="154"/>
      <c r="F30" s="154"/>
      <c r="G30" s="156">
        <f t="shared" si="2"/>
        <v>338.26999999999975</v>
      </c>
      <c r="I30" s="120"/>
      <c r="J30" s="117"/>
      <c r="K30" s="117"/>
      <c r="L30" s="154"/>
      <c r="M30" s="154"/>
      <c r="N30" s="154"/>
      <c r="O30" s="153">
        <f t="shared" si="3"/>
        <v>72.809999999999988</v>
      </c>
    </row>
    <row r="31" spans="1:15" ht="13.5" thickBot="1" x14ac:dyDescent="0.25">
      <c r="A31" s="121"/>
      <c r="B31" s="122"/>
      <c r="C31" s="122"/>
      <c r="D31" s="157"/>
      <c r="E31" s="157"/>
      <c r="F31" s="157"/>
      <c r="G31" s="158">
        <f>SUM(G30+D31-E31-F31)</f>
        <v>338.26999999999975</v>
      </c>
      <c r="I31" s="121"/>
      <c r="J31" s="122"/>
      <c r="K31" s="122"/>
      <c r="L31" s="157"/>
      <c r="M31" s="157"/>
      <c r="N31" s="157"/>
      <c r="O31" s="153">
        <f t="shared" si="3"/>
        <v>72.809999999999988</v>
      </c>
    </row>
    <row r="32" spans="1:15" ht="13.5" thickTop="1" x14ac:dyDescent="0.2">
      <c r="A32" s="113"/>
      <c r="B32" s="114"/>
      <c r="C32" s="114"/>
      <c r="D32" s="142"/>
      <c r="E32" s="142"/>
      <c r="F32" s="142"/>
      <c r="G32" s="143"/>
      <c r="I32" s="113"/>
      <c r="J32" s="114"/>
      <c r="K32" s="114"/>
      <c r="L32" s="142"/>
      <c r="M32" s="142"/>
      <c r="N32" s="142"/>
      <c r="O32" s="143"/>
    </row>
    <row r="33" spans="1:15" ht="13.5" thickBot="1" x14ac:dyDescent="0.25">
      <c r="A33" s="124" t="s">
        <v>3</v>
      </c>
      <c r="B33" s="125"/>
      <c r="C33" s="125"/>
      <c r="D33" s="159"/>
      <c r="E33" s="160"/>
      <c r="F33" s="160"/>
      <c r="G33" s="209">
        <f>G31</f>
        <v>338.26999999999975</v>
      </c>
      <c r="I33" s="124" t="s">
        <v>3</v>
      </c>
      <c r="J33" s="125"/>
      <c r="K33" s="125"/>
      <c r="L33" s="159"/>
      <c r="M33" s="160"/>
      <c r="N33" s="160"/>
      <c r="O33" s="209">
        <f>O31</f>
        <v>72.809999999999988</v>
      </c>
    </row>
  </sheetData>
  <sortState ref="A9:F15">
    <sortCondition ref="A9"/>
  </sortState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phoneticPr fontId="5" type="noConversion"/>
  <hyperlinks>
    <hyperlink ref="H1" location="Overall!A1" display="HOME" xr:uid="{00000000-0004-0000-0600-000000000000}"/>
  </hyperlinks>
  <pageMargins left="0.75" right="0.75" top="1" bottom="1" header="0.5" footer="0.5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O26"/>
  <sheetViews>
    <sheetView zoomScaleNormal="100" workbookViewId="0">
      <selection activeCell="H1" sqref="H1"/>
    </sheetView>
  </sheetViews>
  <sheetFormatPr defaultRowHeight="12.75" x14ac:dyDescent="0.2"/>
  <cols>
    <col min="1" max="1" width="11.5703125" style="141" bestFit="1" customWidth="1"/>
    <col min="2" max="2" width="11.5703125" style="141" customWidth="1"/>
    <col min="3" max="3" width="25.7109375" style="141" customWidth="1"/>
    <col min="4" max="4" width="11.85546875" style="141" customWidth="1"/>
    <col min="5" max="5" width="5.42578125" style="141" bestFit="1" customWidth="1"/>
    <col min="6" max="6" width="12" style="141" bestFit="1" customWidth="1"/>
    <col min="7" max="7" width="11.5703125" style="141" bestFit="1" customWidth="1"/>
    <col min="8" max="8" width="9.140625" style="141"/>
    <col min="9" max="9" width="11.5703125" style="141" bestFit="1" customWidth="1"/>
    <col min="10" max="10" width="11.5703125" style="141" customWidth="1"/>
    <col min="11" max="11" width="25.7109375" style="141" customWidth="1"/>
    <col min="12" max="12" width="11.85546875" style="141" customWidth="1"/>
    <col min="13" max="13" width="5.42578125" style="141" bestFit="1" customWidth="1"/>
    <col min="14" max="14" width="12" style="141" bestFit="1" customWidth="1"/>
    <col min="15" max="15" width="11.5703125" style="141" bestFit="1" customWidth="1"/>
    <col min="16" max="16384" width="9.140625" style="141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40</v>
      </c>
      <c r="B4" s="363"/>
      <c r="C4" s="363"/>
      <c r="D4" s="363"/>
      <c r="E4" s="363"/>
      <c r="F4" s="363"/>
      <c r="G4" s="364"/>
      <c r="I4" s="362" t="s">
        <v>40</v>
      </c>
      <c r="J4" s="363"/>
      <c r="K4" s="363"/>
      <c r="L4" s="363"/>
      <c r="M4" s="363"/>
      <c r="N4" s="363"/>
      <c r="O4" s="364"/>
    </row>
    <row r="5" spans="1:15" ht="18" customHeight="1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247"/>
      <c r="J8" s="238"/>
      <c r="K8" s="238" t="s">
        <v>74</v>
      </c>
      <c r="L8" s="248"/>
      <c r="M8" s="248"/>
      <c r="N8" s="248"/>
      <c r="O8" s="249">
        <v>1672.42</v>
      </c>
    </row>
    <row r="9" spans="1:15" s="246" customFormat="1" x14ac:dyDescent="0.2">
      <c r="A9" s="150"/>
      <c r="B9" s="232"/>
      <c r="C9" s="270"/>
      <c r="D9" s="151"/>
      <c r="E9" s="151"/>
      <c r="F9" s="152"/>
      <c r="G9" s="153">
        <f t="shared" ref="G9:G14" si="0">SUM(G8+D9-E9-F9)</f>
        <v>0</v>
      </c>
      <c r="I9" s="116"/>
      <c r="J9" s="185"/>
      <c r="K9" s="271"/>
      <c r="L9" s="154"/>
      <c r="M9" s="154"/>
      <c r="N9" s="155"/>
      <c r="O9" s="153">
        <f t="shared" ref="O9:O24" si="1">SUM(O8+L9-M9-N9)</f>
        <v>1672.42</v>
      </c>
    </row>
    <row r="10" spans="1:15" s="246" customFormat="1" x14ac:dyDescent="0.2">
      <c r="A10" s="150"/>
      <c r="B10" s="232"/>
      <c r="C10" s="270"/>
      <c r="D10" s="151"/>
      <c r="E10" s="151"/>
      <c r="F10" s="152"/>
      <c r="G10" s="153">
        <f t="shared" si="0"/>
        <v>0</v>
      </c>
      <c r="I10" s="150"/>
      <c r="J10" s="232"/>
      <c r="K10" s="270"/>
      <c r="L10" s="151"/>
      <c r="M10" s="151"/>
      <c r="N10" s="152"/>
      <c r="O10" s="153">
        <f t="shared" si="1"/>
        <v>1672.42</v>
      </c>
    </row>
    <row r="11" spans="1:15" s="246" customFormat="1" x14ac:dyDescent="0.2">
      <c r="A11" s="150"/>
      <c r="B11" s="232"/>
      <c r="C11" s="270"/>
      <c r="D11" s="151"/>
      <c r="E11" s="151"/>
      <c r="F11" s="152"/>
      <c r="G11" s="153">
        <f t="shared" si="0"/>
        <v>0</v>
      </c>
      <c r="I11" s="150"/>
      <c r="J11" s="232"/>
      <c r="K11" s="270"/>
      <c r="L11" s="151"/>
      <c r="M11" s="151"/>
      <c r="N11" s="152"/>
      <c r="O11" s="153">
        <f t="shared" si="1"/>
        <v>1672.42</v>
      </c>
    </row>
    <row r="12" spans="1:15" x14ac:dyDescent="0.2">
      <c r="A12" s="116"/>
      <c r="B12" s="185"/>
      <c r="C12" s="271"/>
      <c r="D12" s="154"/>
      <c r="E12" s="154"/>
      <c r="F12" s="155"/>
      <c r="G12" s="153">
        <f t="shared" si="0"/>
        <v>0</v>
      </c>
      <c r="H12" s="170"/>
      <c r="I12" s="116"/>
      <c r="J12" s="185"/>
      <c r="K12" s="271"/>
      <c r="L12" s="154"/>
      <c r="M12" s="154"/>
      <c r="N12" s="155"/>
      <c r="O12" s="153">
        <f t="shared" si="1"/>
        <v>1672.42</v>
      </c>
    </row>
    <row r="13" spans="1:15" x14ac:dyDescent="0.2">
      <c r="A13" s="116"/>
      <c r="B13" s="185"/>
      <c r="C13" s="271"/>
      <c r="D13" s="154"/>
      <c r="E13" s="154"/>
      <c r="F13" s="155"/>
      <c r="G13" s="153">
        <f t="shared" si="0"/>
        <v>0</v>
      </c>
      <c r="H13" s="170"/>
      <c r="I13" s="116"/>
      <c r="J13" s="185"/>
      <c r="K13" s="271"/>
      <c r="L13" s="154"/>
      <c r="M13" s="154"/>
      <c r="N13" s="155"/>
      <c r="O13" s="153">
        <f t="shared" si="1"/>
        <v>1672.42</v>
      </c>
    </row>
    <row r="14" spans="1:15" x14ac:dyDescent="0.2">
      <c r="A14" s="116"/>
      <c r="B14" s="117"/>
      <c r="C14" s="272"/>
      <c r="D14" s="154"/>
      <c r="E14" s="154"/>
      <c r="F14" s="155"/>
      <c r="G14" s="153">
        <f t="shared" si="0"/>
        <v>0</v>
      </c>
      <c r="H14" s="170"/>
      <c r="I14" s="116"/>
      <c r="J14" s="117"/>
      <c r="K14" s="272"/>
      <c r="L14" s="154"/>
      <c r="M14" s="154"/>
      <c r="N14" s="155"/>
      <c r="O14" s="153">
        <f t="shared" si="1"/>
        <v>1672.42</v>
      </c>
    </row>
    <row r="15" spans="1:15" ht="12" customHeight="1" x14ac:dyDescent="0.2">
      <c r="A15" s="116"/>
      <c r="B15" s="119"/>
      <c r="C15" s="271"/>
      <c r="D15" s="154"/>
      <c r="E15" s="154"/>
      <c r="F15" s="155"/>
      <c r="G15" s="153">
        <f t="shared" ref="G15:G24" si="2">SUM(G14+D15-E15-F15)</f>
        <v>0</v>
      </c>
      <c r="I15" s="116"/>
      <c r="J15" s="119"/>
      <c r="K15" s="271"/>
      <c r="L15" s="154"/>
      <c r="M15" s="154"/>
      <c r="N15" s="155"/>
      <c r="O15" s="153">
        <f t="shared" si="1"/>
        <v>1672.42</v>
      </c>
    </row>
    <row r="16" spans="1:15" ht="12" customHeight="1" x14ac:dyDescent="0.2">
      <c r="A16" s="116"/>
      <c r="B16" s="185"/>
      <c r="C16" s="271"/>
      <c r="D16" s="154"/>
      <c r="E16" s="154"/>
      <c r="F16" s="155"/>
      <c r="G16" s="153">
        <f t="shared" si="2"/>
        <v>0</v>
      </c>
      <c r="I16" s="116"/>
      <c r="J16" s="185"/>
      <c r="K16" s="271"/>
      <c r="L16" s="154"/>
      <c r="M16" s="154"/>
      <c r="N16" s="155"/>
      <c r="O16" s="153">
        <f t="shared" si="1"/>
        <v>1672.42</v>
      </c>
    </row>
    <row r="17" spans="1:15" x14ac:dyDescent="0.2">
      <c r="A17" s="120"/>
      <c r="B17" s="117"/>
      <c r="C17" s="117"/>
      <c r="D17" s="154"/>
      <c r="E17" s="154"/>
      <c r="F17" s="154"/>
      <c r="G17" s="153">
        <f t="shared" si="2"/>
        <v>0</v>
      </c>
      <c r="I17" s="120"/>
      <c r="J17" s="117"/>
      <c r="K17" s="117"/>
      <c r="L17" s="154"/>
      <c r="M17" s="154"/>
      <c r="N17" s="154"/>
      <c r="O17" s="153">
        <f t="shared" si="1"/>
        <v>1672.42</v>
      </c>
    </row>
    <row r="18" spans="1:15" x14ac:dyDescent="0.2">
      <c r="A18" s="120"/>
      <c r="B18" s="117"/>
      <c r="C18" s="117"/>
      <c r="D18" s="154"/>
      <c r="E18" s="154"/>
      <c r="F18" s="154"/>
      <c r="G18" s="153">
        <f t="shared" si="2"/>
        <v>0</v>
      </c>
      <c r="I18" s="120"/>
      <c r="J18" s="117"/>
      <c r="K18" s="117"/>
      <c r="L18" s="154"/>
      <c r="M18" s="154"/>
      <c r="N18" s="154"/>
      <c r="O18" s="153">
        <f t="shared" si="1"/>
        <v>1672.42</v>
      </c>
    </row>
    <row r="19" spans="1:15" x14ac:dyDescent="0.2">
      <c r="A19" s="120"/>
      <c r="B19" s="117"/>
      <c r="C19" s="117"/>
      <c r="D19" s="154"/>
      <c r="E19" s="154"/>
      <c r="F19" s="154"/>
      <c r="G19" s="153">
        <f t="shared" si="2"/>
        <v>0</v>
      </c>
      <c r="I19" s="120"/>
      <c r="J19" s="117"/>
      <c r="K19" s="117"/>
      <c r="L19" s="154"/>
      <c r="M19" s="154"/>
      <c r="N19" s="154"/>
      <c r="O19" s="153">
        <f t="shared" si="1"/>
        <v>1672.42</v>
      </c>
    </row>
    <row r="20" spans="1:15" x14ac:dyDescent="0.2">
      <c r="A20" s="120"/>
      <c r="B20" s="117"/>
      <c r="C20" s="117"/>
      <c r="D20" s="154"/>
      <c r="E20" s="154"/>
      <c r="F20" s="154"/>
      <c r="G20" s="153">
        <f t="shared" si="2"/>
        <v>0</v>
      </c>
      <c r="I20" s="120"/>
      <c r="J20" s="117"/>
      <c r="K20" s="117"/>
      <c r="L20" s="154"/>
      <c r="M20" s="154"/>
      <c r="N20" s="154"/>
      <c r="O20" s="153">
        <f t="shared" si="1"/>
        <v>1672.42</v>
      </c>
    </row>
    <row r="21" spans="1:15" x14ac:dyDescent="0.2">
      <c r="A21" s="120"/>
      <c r="B21" s="117"/>
      <c r="C21" s="117"/>
      <c r="D21" s="154"/>
      <c r="E21" s="154"/>
      <c r="F21" s="154"/>
      <c r="G21" s="153">
        <f t="shared" si="2"/>
        <v>0</v>
      </c>
      <c r="I21" s="120"/>
      <c r="J21" s="117"/>
      <c r="K21" s="117"/>
      <c r="L21" s="154"/>
      <c r="M21" s="154"/>
      <c r="N21" s="154"/>
      <c r="O21" s="153">
        <f t="shared" si="1"/>
        <v>1672.42</v>
      </c>
    </row>
    <row r="22" spans="1:15" x14ac:dyDescent="0.2">
      <c r="A22" s="120"/>
      <c r="B22" s="117"/>
      <c r="C22" s="117"/>
      <c r="D22" s="154"/>
      <c r="E22" s="154"/>
      <c r="F22" s="154"/>
      <c r="G22" s="153">
        <f t="shared" si="2"/>
        <v>0</v>
      </c>
      <c r="I22" s="120"/>
      <c r="J22" s="117"/>
      <c r="K22" s="117"/>
      <c r="L22" s="154"/>
      <c r="M22" s="154"/>
      <c r="N22" s="154"/>
      <c r="O22" s="153">
        <f t="shared" si="1"/>
        <v>1672.42</v>
      </c>
    </row>
    <row r="23" spans="1:15" x14ac:dyDescent="0.2">
      <c r="A23" s="120"/>
      <c r="B23" s="117"/>
      <c r="C23" s="117"/>
      <c r="D23" s="154"/>
      <c r="E23" s="154"/>
      <c r="F23" s="154"/>
      <c r="G23" s="153">
        <f t="shared" si="2"/>
        <v>0</v>
      </c>
      <c r="I23" s="120"/>
      <c r="J23" s="117"/>
      <c r="K23" s="117"/>
      <c r="L23" s="154"/>
      <c r="M23" s="154"/>
      <c r="N23" s="154"/>
      <c r="O23" s="153">
        <f t="shared" si="1"/>
        <v>1672.42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3">
        <f t="shared" si="2"/>
        <v>0</v>
      </c>
      <c r="I24" s="121"/>
      <c r="J24" s="122"/>
      <c r="K24" s="122"/>
      <c r="L24" s="157"/>
      <c r="M24" s="157"/>
      <c r="N24" s="157"/>
      <c r="O24" s="153">
        <f t="shared" si="1"/>
        <v>1672.42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0</v>
      </c>
      <c r="I26" s="124" t="s">
        <v>3</v>
      </c>
      <c r="J26" s="125"/>
      <c r="K26" s="125"/>
      <c r="L26" s="159"/>
      <c r="M26" s="160"/>
      <c r="N26" s="160"/>
      <c r="O26" s="209">
        <f>O24</f>
        <v>1672.42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 xr:uid="{00000000-0004-0000-0700-000000000000}"/>
  </hyperlinks>
  <pageMargins left="0.7" right="0.7" top="0.75" bottom="0.75" header="0.3" footer="0.3"/>
  <pageSetup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zoomScaleNormal="100" workbookViewId="0">
      <selection sqref="A1:G1"/>
    </sheetView>
  </sheetViews>
  <sheetFormatPr defaultRowHeight="12.75" x14ac:dyDescent="0.2"/>
  <cols>
    <col min="1" max="1" width="11.5703125" style="246" bestFit="1" customWidth="1"/>
    <col min="2" max="2" width="11.5703125" style="246" customWidth="1"/>
    <col min="3" max="3" width="25.7109375" style="246" customWidth="1"/>
    <col min="4" max="4" width="11.85546875" style="246" customWidth="1"/>
    <col min="5" max="5" width="5.42578125" style="246" bestFit="1" customWidth="1"/>
    <col min="6" max="6" width="12" style="246" bestFit="1" customWidth="1"/>
    <col min="7" max="7" width="11.5703125" style="246" bestFit="1" customWidth="1"/>
    <col min="8" max="8" width="9.140625" style="246"/>
    <col min="9" max="9" width="11.5703125" style="246" bestFit="1" customWidth="1"/>
    <col min="10" max="10" width="11.5703125" style="246" customWidth="1"/>
    <col min="11" max="11" width="25.7109375" style="246" customWidth="1"/>
    <col min="12" max="12" width="11.85546875" style="246" customWidth="1"/>
    <col min="13" max="13" width="5.42578125" style="246" bestFit="1" customWidth="1"/>
    <col min="14" max="14" width="12" style="246" bestFit="1" customWidth="1"/>
    <col min="15" max="15" width="11.5703125" style="246" bestFit="1" customWidth="1"/>
    <col min="16" max="16384" width="9.140625" style="246"/>
  </cols>
  <sheetData>
    <row r="1" spans="1:15" x14ac:dyDescent="0.2">
      <c r="A1" s="353" t="s">
        <v>11</v>
      </c>
      <c r="B1" s="368"/>
      <c r="C1" s="368"/>
      <c r="D1" s="368"/>
      <c r="E1" s="368"/>
      <c r="F1" s="368"/>
      <c r="G1" s="369"/>
      <c r="H1" s="291" t="s">
        <v>78</v>
      </c>
      <c r="I1" s="353" t="s">
        <v>11</v>
      </c>
      <c r="J1" s="368"/>
      <c r="K1" s="368"/>
      <c r="L1" s="368"/>
      <c r="M1" s="368"/>
      <c r="N1" s="368"/>
      <c r="O1" s="369"/>
    </row>
    <row r="2" spans="1:15" x14ac:dyDescent="0.2">
      <c r="A2" s="356" t="s">
        <v>41</v>
      </c>
      <c r="B2" s="370"/>
      <c r="C2" s="370"/>
      <c r="D2" s="370"/>
      <c r="E2" s="370"/>
      <c r="F2" s="370"/>
      <c r="G2" s="371"/>
      <c r="I2" s="356" t="s">
        <v>41</v>
      </c>
      <c r="J2" s="370"/>
      <c r="K2" s="370"/>
      <c r="L2" s="370"/>
      <c r="M2" s="370"/>
      <c r="N2" s="370"/>
      <c r="O2" s="371"/>
    </row>
    <row r="3" spans="1:15" x14ac:dyDescent="0.2">
      <c r="A3" s="359"/>
      <c r="B3" s="372"/>
      <c r="C3" s="372"/>
      <c r="D3" s="372"/>
      <c r="E3" s="372"/>
      <c r="F3" s="372"/>
      <c r="G3" s="373"/>
      <c r="I3" s="359"/>
      <c r="J3" s="372"/>
      <c r="K3" s="372"/>
      <c r="L3" s="372"/>
      <c r="M3" s="372"/>
      <c r="N3" s="372"/>
      <c r="O3" s="373"/>
    </row>
    <row r="4" spans="1:15" ht="18" x14ac:dyDescent="0.2">
      <c r="A4" s="362" t="s">
        <v>87</v>
      </c>
      <c r="B4" s="363"/>
      <c r="C4" s="363"/>
      <c r="D4" s="363"/>
      <c r="E4" s="363"/>
      <c r="F4" s="363"/>
      <c r="G4" s="364"/>
      <c r="I4" s="362" t="s">
        <v>87</v>
      </c>
      <c r="J4" s="363"/>
      <c r="K4" s="363"/>
      <c r="L4" s="363"/>
      <c r="M4" s="363"/>
      <c r="N4" s="363"/>
      <c r="O4" s="364"/>
    </row>
    <row r="5" spans="1:15" ht="18" customHeight="1" x14ac:dyDescent="0.2">
      <c r="A5" s="365" t="s">
        <v>68</v>
      </c>
      <c r="B5" s="374"/>
      <c r="C5" s="374"/>
      <c r="D5" s="374"/>
      <c r="E5" s="374"/>
      <c r="F5" s="374"/>
      <c r="G5" s="375"/>
      <c r="H5" s="144"/>
      <c r="I5" s="365" t="s">
        <v>68</v>
      </c>
      <c r="J5" s="374"/>
      <c r="K5" s="374"/>
      <c r="L5" s="374"/>
      <c r="M5" s="374"/>
      <c r="N5" s="374"/>
      <c r="O5" s="375"/>
    </row>
    <row r="6" spans="1:15" ht="13.5" thickBot="1" x14ac:dyDescent="0.25">
      <c r="A6" s="376" t="s">
        <v>94</v>
      </c>
      <c r="B6" s="377"/>
      <c r="C6" s="377"/>
      <c r="D6" s="377"/>
      <c r="E6" s="377"/>
      <c r="F6" s="377"/>
      <c r="G6" s="378"/>
      <c r="H6" s="145"/>
      <c r="I6" s="376" t="s">
        <v>94</v>
      </c>
      <c r="J6" s="377"/>
      <c r="K6" s="377"/>
      <c r="L6" s="377"/>
      <c r="M6" s="377"/>
      <c r="N6" s="377"/>
      <c r="O6" s="378"/>
    </row>
    <row r="7" spans="1:15" ht="26.25" thickBot="1" x14ac:dyDescent="0.25">
      <c r="A7" s="146" t="s">
        <v>1</v>
      </c>
      <c r="B7" s="214" t="s">
        <v>12</v>
      </c>
      <c r="C7" s="147" t="s">
        <v>0</v>
      </c>
      <c r="D7" s="148" t="s">
        <v>2</v>
      </c>
      <c r="E7" s="251" t="s">
        <v>8</v>
      </c>
      <c r="F7" s="148" t="s">
        <v>5</v>
      </c>
      <c r="G7" s="149" t="s">
        <v>6</v>
      </c>
      <c r="I7" s="146" t="s">
        <v>1</v>
      </c>
      <c r="J7" s="214" t="s">
        <v>12</v>
      </c>
      <c r="K7" s="147" t="s">
        <v>0</v>
      </c>
      <c r="L7" s="148" t="s">
        <v>2</v>
      </c>
      <c r="M7" s="251" t="s">
        <v>8</v>
      </c>
      <c r="N7" s="148" t="s">
        <v>5</v>
      </c>
      <c r="O7" s="149" t="s">
        <v>6</v>
      </c>
    </row>
    <row r="8" spans="1:15" x14ac:dyDescent="0.2">
      <c r="A8" s="247"/>
      <c r="B8" s="238"/>
      <c r="C8" s="238" t="s">
        <v>70</v>
      </c>
      <c r="D8" s="248"/>
      <c r="E8" s="248"/>
      <c r="F8" s="248"/>
      <c r="G8" s="249">
        <f>D8</f>
        <v>0</v>
      </c>
      <c r="I8" s="247"/>
      <c r="J8" s="238"/>
      <c r="K8" s="238" t="s">
        <v>74</v>
      </c>
      <c r="L8" s="248"/>
      <c r="M8" s="248"/>
      <c r="N8" s="248"/>
      <c r="O8" s="249">
        <f>L8</f>
        <v>0</v>
      </c>
    </row>
    <row r="9" spans="1:15" x14ac:dyDescent="0.2">
      <c r="A9" s="150"/>
      <c r="B9" s="232"/>
      <c r="C9" s="270"/>
      <c r="D9" s="151"/>
      <c r="E9" s="151"/>
      <c r="F9" s="152"/>
      <c r="G9" s="153">
        <f t="shared" ref="G9:G24" si="0">SUM(G8+D9-E9-F9)</f>
        <v>0</v>
      </c>
      <c r="I9" s="116"/>
      <c r="J9" s="185"/>
      <c r="K9" s="271"/>
      <c r="L9" s="154"/>
      <c r="M9" s="154"/>
      <c r="N9" s="155"/>
      <c r="O9" s="153">
        <f t="shared" ref="O9:O24" si="1">SUM(O8+L9-M9-N9)</f>
        <v>0</v>
      </c>
    </row>
    <row r="10" spans="1:15" x14ac:dyDescent="0.2">
      <c r="A10" s="150"/>
      <c r="B10" s="232"/>
      <c r="C10" s="270"/>
      <c r="D10" s="151"/>
      <c r="E10" s="151"/>
      <c r="F10" s="152"/>
      <c r="G10" s="153">
        <f t="shared" si="0"/>
        <v>0</v>
      </c>
      <c r="I10" s="150"/>
      <c r="J10" s="232"/>
      <c r="K10" s="270"/>
      <c r="L10" s="151"/>
      <c r="M10" s="151"/>
      <c r="N10" s="152"/>
      <c r="O10" s="153">
        <f t="shared" si="1"/>
        <v>0</v>
      </c>
    </row>
    <row r="11" spans="1:15" x14ac:dyDescent="0.2">
      <c r="A11" s="150"/>
      <c r="B11" s="232"/>
      <c r="C11" s="270"/>
      <c r="D11" s="151"/>
      <c r="E11" s="151"/>
      <c r="F11" s="152"/>
      <c r="G11" s="153">
        <f t="shared" si="0"/>
        <v>0</v>
      </c>
      <c r="I11" s="150"/>
      <c r="J11" s="232"/>
      <c r="K11" s="270"/>
      <c r="L11" s="151"/>
      <c r="M11" s="151"/>
      <c r="N11" s="152"/>
      <c r="O11" s="153">
        <f t="shared" si="1"/>
        <v>0</v>
      </c>
    </row>
    <row r="12" spans="1:15" x14ac:dyDescent="0.2">
      <c r="A12" s="116"/>
      <c r="B12" s="185"/>
      <c r="C12" s="271"/>
      <c r="D12" s="154"/>
      <c r="E12" s="154"/>
      <c r="F12" s="155"/>
      <c r="G12" s="153">
        <f t="shared" si="0"/>
        <v>0</v>
      </c>
      <c r="H12" s="170"/>
      <c r="I12" s="116"/>
      <c r="J12" s="185"/>
      <c r="K12" s="271"/>
      <c r="L12" s="154"/>
      <c r="M12" s="154"/>
      <c r="N12" s="155"/>
      <c r="O12" s="153">
        <f t="shared" si="1"/>
        <v>0</v>
      </c>
    </row>
    <row r="13" spans="1:15" x14ac:dyDescent="0.2">
      <c r="A13" s="116"/>
      <c r="B13" s="185"/>
      <c r="C13" s="271"/>
      <c r="D13" s="154"/>
      <c r="E13" s="154"/>
      <c r="F13" s="155"/>
      <c r="G13" s="153">
        <f t="shared" si="0"/>
        <v>0</v>
      </c>
      <c r="H13" s="170"/>
      <c r="I13" s="116"/>
      <c r="J13" s="185"/>
      <c r="K13" s="271"/>
      <c r="L13" s="154"/>
      <c r="M13" s="154"/>
      <c r="N13" s="155"/>
      <c r="O13" s="153">
        <f t="shared" si="1"/>
        <v>0</v>
      </c>
    </row>
    <row r="14" spans="1:15" x14ac:dyDescent="0.2">
      <c r="A14" s="116"/>
      <c r="B14" s="117"/>
      <c r="C14" s="272"/>
      <c r="D14" s="154"/>
      <c r="E14" s="154"/>
      <c r="F14" s="155"/>
      <c r="G14" s="153">
        <f t="shared" si="0"/>
        <v>0</v>
      </c>
      <c r="H14" s="170"/>
      <c r="I14" s="116"/>
      <c r="J14" s="117"/>
      <c r="K14" s="272"/>
      <c r="L14" s="154"/>
      <c r="M14" s="154"/>
      <c r="N14" s="155"/>
      <c r="O14" s="153">
        <f t="shared" si="1"/>
        <v>0</v>
      </c>
    </row>
    <row r="15" spans="1:15" ht="12" customHeight="1" x14ac:dyDescent="0.2">
      <c r="A15" s="116"/>
      <c r="B15" s="119"/>
      <c r="C15" s="271"/>
      <c r="D15" s="154"/>
      <c r="E15" s="154"/>
      <c r="F15" s="155"/>
      <c r="G15" s="153">
        <f t="shared" si="0"/>
        <v>0</v>
      </c>
      <c r="I15" s="116"/>
      <c r="J15" s="119"/>
      <c r="K15" s="271"/>
      <c r="L15" s="154"/>
      <c r="M15" s="154"/>
      <c r="N15" s="155"/>
      <c r="O15" s="153">
        <f t="shared" si="1"/>
        <v>0</v>
      </c>
    </row>
    <row r="16" spans="1:15" ht="12" customHeight="1" x14ac:dyDescent="0.2">
      <c r="A16" s="116"/>
      <c r="B16" s="185"/>
      <c r="C16" s="271"/>
      <c r="D16" s="154"/>
      <c r="E16" s="154"/>
      <c r="F16" s="155"/>
      <c r="G16" s="153">
        <f t="shared" si="0"/>
        <v>0</v>
      </c>
      <c r="I16" s="116"/>
      <c r="J16" s="185"/>
      <c r="K16" s="271"/>
      <c r="L16" s="154"/>
      <c r="M16" s="154"/>
      <c r="N16" s="155"/>
      <c r="O16" s="153">
        <f t="shared" si="1"/>
        <v>0</v>
      </c>
    </row>
    <row r="17" spans="1:15" x14ac:dyDescent="0.2">
      <c r="A17" s="120"/>
      <c r="B17" s="117"/>
      <c r="C17" s="117"/>
      <c r="D17" s="154"/>
      <c r="E17" s="154"/>
      <c r="F17" s="154"/>
      <c r="G17" s="153">
        <f t="shared" si="0"/>
        <v>0</v>
      </c>
      <c r="I17" s="120"/>
      <c r="J17" s="117"/>
      <c r="K17" s="117"/>
      <c r="L17" s="154"/>
      <c r="M17" s="154"/>
      <c r="N17" s="154"/>
      <c r="O17" s="153">
        <f t="shared" si="1"/>
        <v>0</v>
      </c>
    </row>
    <row r="18" spans="1:15" x14ac:dyDescent="0.2">
      <c r="A18" s="120"/>
      <c r="B18" s="117"/>
      <c r="C18" s="117"/>
      <c r="D18" s="154"/>
      <c r="E18" s="154"/>
      <c r="F18" s="154"/>
      <c r="G18" s="153">
        <f t="shared" si="0"/>
        <v>0</v>
      </c>
      <c r="I18" s="120"/>
      <c r="J18" s="117"/>
      <c r="K18" s="117"/>
      <c r="L18" s="154"/>
      <c r="M18" s="154"/>
      <c r="N18" s="154"/>
      <c r="O18" s="153">
        <f t="shared" si="1"/>
        <v>0</v>
      </c>
    </row>
    <row r="19" spans="1:15" x14ac:dyDescent="0.2">
      <c r="A19" s="120"/>
      <c r="B19" s="117"/>
      <c r="C19" s="117"/>
      <c r="D19" s="154"/>
      <c r="E19" s="154"/>
      <c r="F19" s="154"/>
      <c r="G19" s="153">
        <f t="shared" si="0"/>
        <v>0</v>
      </c>
      <c r="I19" s="120"/>
      <c r="J19" s="117"/>
      <c r="K19" s="117"/>
      <c r="L19" s="154"/>
      <c r="M19" s="154"/>
      <c r="N19" s="154"/>
      <c r="O19" s="153">
        <f t="shared" si="1"/>
        <v>0</v>
      </c>
    </row>
    <row r="20" spans="1:15" x14ac:dyDescent="0.2">
      <c r="A20" s="120"/>
      <c r="B20" s="117"/>
      <c r="C20" s="117"/>
      <c r="D20" s="154"/>
      <c r="E20" s="154"/>
      <c r="F20" s="154"/>
      <c r="G20" s="153">
        <f t="shared" si="0"/>
        <v>0</v>
      </c>
      <c r="I20" s="120"/>
      <c r="J20" s="117"/>
      <c r="K20" s="117"/>
      <c r="L20" s="154"/>
      <c r="M20" s="154"/>
      <c r="N20" s="154"/>
      <c r="O20" s="153">
        <f t="shared" si="1"/>
        <v>0</v>
      </c>
    </row>
    <row r="21" spans="1:15" x14ac:dyDescent="0.2">
      <c r="A21" s="120"/>
      <c r="B21" s="117"/>
      <c r="C21" s="117"/>
      <c r="D21" s="154"/>
      <c r="E21" s="154"/>
      <c r="F21" s="154"/>
      <c r="G21" s="153">
        <f t="shared" si="0"/>
        <v>0</v>
      </c>
      <c r="I21" s="120"/>
      <c r="J21" s="117"/>
      <c r="K21" s="117"/>
      <c r="L21" s="154"/>
      <c r="M21" s="154"/>
      <c r="N21" s="154"/>
      <c r="O21" s="153">
        <f t="shared" si="1"/>
        <v>0</v>
      </c>
    </row>
    <row r="22" spans="1:15" x14ac:dyDescent="0.2">
      <c r="A22" s="120"/>
      <c r="B22" s="117"/>
      <c r="C22" s="117"/>
      <c r="D22" s="154"/>
      <c r="E22" s="154"/>
      <c r="F22" s="154"/>
      <c r="G22" s="153">
        <f t="shared" si="0"/>
        <v>0</v>
      </c>
      <c r="I22" s="120"/>
      <c r="J22" s="117"/>
      <c r="K22" s="117"/>
      <c r="L22" s="154"/>
      <c r="M22" s="154"/>
      <c r="N22" s="154"/>
      <c r="O22" s="153">
        <f t="shared" si="1"/>
        <v>0</v>
      </c>
    </row>
    <row r="23" spans="1:15" x14ac:dyDescent="0.2">
      <c r="A23" s="120"/>
      <c r="B23" s="117"/>
      <c r="C23" s="117"/>
      <c r="D23" s="154"/>
      <c r="E23" s="154"/>
      <c r="F23" s="154"/>
      <c r="G23" s="153">
        <f t="shared" si="0"/>
        <v>0</v>
      </c>
      <c r="I23" s="120"/>
      <c r="J23" s="117"/>
      <c r="K23" s="117"/>
      <c r="L23" s="154"/>
      <c r="M23" s="154"/>
      <c r="N23" s="154"/>
      <c r="O23" s="153">
        <f t="shared" si="1"/>
        <v>0</v>
      </c>
    </row>
    <row r="24" spans="1:15" ht="13.5" thickBot="1" x14ac:dyDescent="0.25">
      <c r="A24" s="121"/>
      <c r="B24" s="122"/>
      <c r="C24" s="122"/>
      <c r="D24" s="157"/>
      <c r="E24" s="157"/>
      <c r="F24" s="157"/>
      <c r="G24" s="153">
        <f t="shared" si="0"/>
        <v>0</v>
      </c>
      <c r="I24" s="121"/>
      <c r="J24" s="122"/>
      <c r="K24" s="122"/>
      <c r="L24" s="157"/>
      <c r="M24" s="157"/>
      <c r="N24" s="157"/>
      <c r="O24" s="153">
        <f t="shared" si="1"/>
        <v>0</v>
      </c>
    </row>
    <row r="25" spans="1:15" ht="13.5" thickTop="1" x14ac:dyDescent="0.2">
      <c r="A25" s="113"/>
      <c r="B25" s="114"/>
      <c r="C25" s="114"/>
      <c r="D25" s="142"/>
      <c r="E25" s="142"/>
      <c r="F25" s="142"/>
      <c r="G25" s="143"/>
      <c r="I25" s="113"/>
      <c r="J25" s="114"/>
      <c r="K25" s="114"/>
      <c r="L25" s="142"/>
      <c r="M25" s="142"/>
      <c r="N25" s="142"/>
      <c r="O25" s="143"/>
    </row>
    <row r="26" spans="1:15" ht="13.5" thickBot="1" x14ac:dyDescent="0.25">
      <c r="A26" s="124" t="s">
        <v>3</v>
      </c>
      <c r="B26" s="125"/>
      <c r="C26" s="125"/>
      <c r="D26" s="159"/>
      <c r="E26" s="160"/>
      <c r="F26" s="160"/>
      <c r="G26" s="209">
        <f>G24</f>
        <v>0</v>
      </c>
      <c r="I26" s="124" t="s">
        <v>3</v>
      </c>
      <c r="J26" s="125"/>
      <c r="K26" s="125"/>
      <c r="L26" s="159"/>
      <c r="M26" s="160"/>
      <c r="N26" s="160"/>
      <c r="O26" s="209">
        <f>O24</f>
        <v>0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 xr:uid="{00000000-0004-0000-0800-000000000000}"/>
  </hyperlink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11</vt:i4>
      </vt:variant>
    </vt:vector>
  </HeadingPairs>
  <TitlesOfParts>
    <vt:vector size="63" baseType="lpstr">
      <vt:lpstr>Overall</vt:lpstr>
      <vt:lpstr>Accounting</vt:lpstr>
      <vt:lpstr>AG</vt:lpstr>
      <vt:lpstr>Aikido</vt:lpstr>
      <vt:lpstr>ASME</vt:lpstr>
      <vt:lpstr>Aviation</vt:lpstr>
      <vt:lpstr>Berks Cares</vt:lpstr>
      <vt:lpstr>Bks Chemical Society</vt:lpstr>
      <vt:lpstr>Berks Democrats</vt:lpstr>
      <vt:lpstr>Berks Tech</vt:lpstr>
      <vt:lpstr>Berks Theatre</vt:lpstr>
      <vt:lpstr>Bio-BioChem</vt:lpstr>
      <vt:lpstr>Blue Wave</vt:lpstr>
      <vt:lpstr>BSU</vt:lpstr>
      <vt:lpstr>B&amp;W Society</vt:lpstr>
      <vt:lpstr>B.S.C.C</vt:lpstr>
      <vt:lpstr>CARP</vt:lpstr>
      <vt:lpstr>Chamber Choir</vt:lpstr>
      <vt:lpstr>Chinese</vt:lpstr>
      <vt:lpstr>CSF</vt:lpstr>
      <vt:lpstr>College Republicans</vt:lpstr>
      <vt:lpstr>Comm. Nation</vt:lpstr>
      <vt:lpstr>Criminal Justice</vt:lpstr>
      <vt:lpstr>DECA</vt:lpstr>
      <vt:lpstr>Entrepreneur</vt:lpstr>
      <vt:lpstr>FFA</vt:lpstr>
      <vt:lpstr>HONORS</vt:lpstr>
      <vt:lpstr>HRS</vt:lpstr>
      <vt:lpstr>INK</vt:lpstr>
      <vt:lpstr>Kines</vt:lpstr>
      <vt:lpstr>LUC</vt:lpstr>
      <vt:lpstr>MSA</vt:lpstr>
      <vt:lpstr>Outdoors</vt:lpstr>
      <vt:lpstr>PSEA</vt:lpstr>
      <vt:lpstr>Pre-Med</vt:lpstr>
      <vt:lpstr>Punjabi Culture</vt:lpstr>
      <vt:lpstr>PRSSA</vt:lpstr>
      <vt:lpstr>Robotics</vt:lpstr>
      <vt:lpstr>SAE Aero</vt:lpstr>
      <vt:lpstr>SAE Baja</vt:lpstr>
      <vt:lpstr>SKI</vt:lpstr>
      <vt:lpstr>STEP TEAM</vt:lpstr>
      <vt:lpstr>SOTA</vt:lpstr>
      <vt:lpstr>SVC</vt:lpstr>
      <vt:lpstr>SWE</vt:lpstr>
      <vt:lpstr>Sustainability</vt:lpstr>
      <vt:lpstr>THON SGA</vt:lpstr>
      <vt:lpstr>Undistributed Fund</vt:lpstr>
      <vt:lpstr>VIP</vt:lpstr>
      <vt:lpstr>World Affairs</vt:lpstr>
      <vt:lpstr>YAMS</vt:lpstr>
      <vt:lpstr>Zumba Lions</vt:lpstr>
      <vt:lpstr>AG!Print_Area</vt:lpstr>
      <vt:lpstr>B.S.C.C!Print_Area</vt:lpstr>
      <vt:lpstr>'Criminal Justice'!Print_Area</vt:lpstr>
      <vt:lpstr>CSF!Print_Area</vt:lpstr>
      <vt:lpstr>DECA!Print_Area</vt:lpstr>
      <vt:lpstr>HONORS!Print_Area</vt:lpstr>
      <vt:lpstr>HRS!Print_Area</vt:lpstr>
      <vt:lpstr>LUC!Print_Area</vt:lpstr>
      <vt:lpstr>SOTA!Print_Area</vt:lpstr>
      <vt:lpstr>'STEP TEAM'!Print_Area</vt:lpstr>
      <vt:lpstr>'THON SGA'!Print_Area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Berks Lehigh Valley College</dc:creator>
  <cp:lastModifiedBy>SANDRA LEE MCEWEN</cp:lastModifiedBy>
  <cp:lastPrinted>2018-04-12T19:38:32Z</cp:lastPrinted>
  <dcterms:created xsi:type="dcterms:W3CDTF">2003-09-10T12:17:32Z</dcterms:created>
  <dcterms:modified xsi:type="dcterms:W3CDTF">2018-05-22T18:18:04Z</dcterms:modified>
</cp:coreProperties>
</file>